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ione.mani\Desktop\"/>
    </mc:Choice>
  </mc:AlternateContent>
  <bookViews>
    <workbookView xWindow="-108" yWindow="-108" windowWidth="19392" windowHeight="10392" activeTab="2"/>
  </bookViews>
  <sheets>
    <sheet name="PAGESAT" sheetId="6" r:id="rId1"/>
    <sheet name="PRANIMET" sheetId="12" r:id="rId2"/>
    <sheet name="PAGESAT 2026" sheetId="19" r:id="rId3"/>
    <sheet name="PRANIMET 2026" sheetId="17" r:id="rId4"/>
    <sheet name="L" sheetId="16" state="hidden" r:id="rId5"/>
  </sheets>
  <externalReferences>
    <externalReference r:id="rId6"/>
    <externalReference r:id="rId7"/>
  </externalReferences>
  <definedNames>
    <definedName name="_xlnm.Print_Area" localSheetId="0">PAGESAT!$A$1:$V$5</definedName>
    <definedName name="_xlnm.Print_Area" localSheetId="1">PRANIMET!$A$1:$L$32</definedName>
    <definedName name="_xlnm.Print_Titles" localSheetId="0">PAGESAT!$3:$5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9" l="1"/>
  <c r="D6" i="19"/>
  <c r="H18" i="19"/>
  <c r="C4" i="17" l="1"/>
  <c r="U18" i="19" l="1"/>
  <c r="Q18" i="19"/>
  <c r="O18" i="19"/>
  <c r="M18" i="19"/>
  <c r="G18" i="19"/>
  <c r="F18" i="19"/>
  <c r="E18" i="19"/>
  <c r="L18" i="19"/>
  <c r="S18" i="19"/>
  <c r="I18" i="19"/>
  <c r="N18" i="19"/>
  <c r="K18" i="19"/>
  <c r="I5" i="19"/>
  <c r="H5" i="19"/>
  <c r="G5" i="19"/>
  <c r="F5" i="19"/>
  <c r="E5" i="19"/>
  <c r="D5" i="19"/>
  <c r="C5" i="19"/>
  <c r="A1" i="19"/>
  <c r="J29" i="17"/>
  <c r="I29" i="17"/>
  <c r="F29" i="17"/>
  <c r="E29" i="17"/>
  <c r="D29" i="17"/>
  <c r="L29" i="17"/>
  <c r="K29" i="17"/>
  <c r="H29" i="17"/>
  <c r="G29" i="17"/>
  <c r="J16" i="17"/>
  <c r="I16" i="17"/>
  <c r="F16" i="17"/>
  <c r="E16" i="17"/>
  <c r="D16" i="17"/>
  <c r="L16" i="17"/>
  <c r="K16" i="17"/>
  <c r="H16" i="17"/>
  <c r="G16" i="17"/>
  <c r="D3" i="17"/>
  <c r="C3" i="17"/>
  <c r="B3" i="17"/>
  <c r="A3" i="17"/>
  <c r="A1" i="17"/>
  <c r="R18" i="19" l="1"/>
  <c r="T18" i="19"/>
  <c r="P18" i="19"/>
  <c r="D18" i="19"/>
  <c r="J18" i="19"/>
  <c r="C29" i="17"/>
  <c r="C16" i="17"/>
  <c r="V31" i="6"/>
  <c r="C18" i="19" l="1"/>
  <c r="H19" i="12"/>
  <c r="H18" i="12"/>
  <c r="H17" i="12"/>
  <c r="L20" i="12" l="1"/>
  <c r="G22" i="6"/>
  <c r="I22" i="6" l="1"/>
  <c r="K20" i="12" l="1"/>
  <c r="G20" i="12"/>
  <c r="L19" i="12" l="1"/>
  <c r="G21" i="6"/>
  <c r="K19" i="12"/>
  <c r="G19" i="12"/>
  <c r="I21" i="6"/>
  <c r="U21" i="6"/>
  <c r="S21" i="6"/>
  <c r="J21" i="6"/>
  <c r="G20" i="6" l="1"/>
  <c r="I20" i="6" l="1"/>
  <c r="U20" i="6"/>
  <c r="S20" i="6"/>
  <c r="J20" i="6"/>
  <c r="L18" i="12"/>
  <c r="K18" i="12"/>
  <c r="G18" i="12"/>
  <c r="L17" i="12" l="1"/>
  <c r="K17" i="12"/>
  <c r="G17" i="12"/>
  <c r="E19" i="6"/>
  <c r="K19" i="6"/>
  <c r="Q19" i="6"/>
  <c r="E20" i="6"/>
  <c r="K20" i="6"/>
  <c r="Q20" i="6"/>
  <c r="E21" i="6"/>
  <c r="K21" i="6"/>
  <c r="Q21" i="6"/>
  <c r="U31" i="6"/>
  <c r="E22" i="6"/>
  <c r="K22" i="6"/>
  <c r="Q22" i="6"/>
  <c r="E23" i="6"/>
  <c r="K23" i="6"/>
  <c r="Q23" i="6"/>
  <c r="E24" i="6"/>
  <c r="K24" i="6"/>
  <c r="Q24" i="6"/>
  <c r="E25" i="6"/>
  <c r="I31" i="6"/>
  <c r="K25" i="6"/>
  <c r="Q25" i="6"/>
  <c r="E26" i="6"/>
  <c r="K26" i="6"/>
  <c r="T31" i="6"/>
  <c r="E27" i="6"/>
  <c r="K27" i="6"/>
  <c r="Q27" i="6"/>
  <c r="E28" i="6"/>
  <c r="K28" i="6"/>
  <c r="Q28" i="6"/>
  <c r="E29" i="6"/>
  <c r="K29" i="6"/>
  <c r="Q29" i="6"/>
  <c r="E30" i="6"/>
  <c r="K30" i="6"/>
  <c r="Q30" i="6"/>
  <c r="F31" i="6"/>
  <c r="H31" i="6"/>
  <c r="J31" i="6"/>
  <c r="L31" i="6"/>
  <c r="M31" i="6"/>
  <c r="N31" i="6"/>
  <c r="O31" i="6"/>
  <c r="P31" i="6"/>
  <c r="R31" i="6"/>
  <c r="G29" i="12"/>
  <c r="H29" i="12"/>
  <c r="C19" i="12"/>
  <c r="C20" i="12"/>
  <c r="C21" i="12"/>
  <c r="K29" i="12"/>
  <c r="C22" i="12"/>
  <c r="C23" i="12"/>
  <c r="C24" i="12"/>
  <c r="C25" i="12"/>
  <c r="C27" i="12"/>
  <c r="D29" i="12"/>
  <c r="E29" i="12"/>
  <c r="F29" i="12"/>
  <c r="I29" i="12"/>
  <c r="J29" i="12"/>
  <c r="C17" i="12" l="1"/>
  <c r="C27" i="6"/>
  <c r="C19" i="6"/>
  <c r="D19" i="6"/>
  <c r="K31" i="6"/>
  <c r="D22" i="6"/>
  <c r="C22" i="6"/>
  <c r="C28" i="6"/>
  <c r="C25" i="6"/>
  <c r="D25" i="6"/>
  <c r="D21" i="6"/>
  <c r="C24" i="6"/>
  <c r="D24" i="6"/>
  <c r="C30" i="6"/>
  <c r="D30" i="6"/>
  <c r="C20" i="6"/>
  <c r="D20" i="6"/>
  <c r="E31" i="6"/>
  <c r="D23" i="6"/>
  <c r="C23" i="6"/>
  <c r="D29" i="6"/>
  <c r="C29" i="6"/>
  <c r="D27" i="6"/>
  <c r="Q26" i="6"/>
  <c r="D26" i="6" s="1"/>
  <c r="C21" i="6"/>
  <c r="D28" i="6"/>
  <c r="S31" i="6"/>
  <c r="G31" i="6"/>
  <c r="C18" i="12"/>
  <c r="H4" i="12"/>
  <c r="H5" i="12"/>
  <c r="H6" i="12"/>
  <c r="H7" i="12"/>
  <c r="H8" i="12"/>
  <c r="H9" i="12"/>
  <c r="H10" i="12"/>
  <c r="H11" i="12"/>
  <c r="H12" i="12"/>
  <c r="H13" i="12"/>
  <c r="H14" i="12"/>
  <c r="H15" i="12"/>
  <c r="Q31" i="6" l="1"/>
  <c r="C31" i="6" s="1"/>
  <c r="D31" i="6"/>
  <c r="C26" i="6"/>
  <c r="G17" i="6"/>
  <c r="M17" i="6" l="1"/>
  <c r="L15" i="12"/>
  <c r="K15" i="12"/>
  <c r="G15" i="12"/>
  <c r="I16" i="6" l="1"/>
  <c r="L14" i="12"/>
  <c r="K14" i="12"/>
  <c r="G14" i="12"/>
  <c r="L15" i="6"/>
  <c r="L13" i="12"/>
  <c r="K13" i="12"/>
  <c r="G13" i="12"/>
  <c r="L12" i="12" l="1"/>
  <c r="K12" i="12"/>
  <c r="G12" i="12"/>
  <c r="G13" i="6"/>
  <c r="I13" i="6"/>
  <c r="O13" i="6"/>
  <c r="T13" i="6"/>
  <c r="J13" i="6"/>
  <c r="L11" i="12"/>
  <c r="K11" i="12"/>
  <c r="G11" i="12"/>
  <c r="G12" i="6"/>
  <c r="I12" i="6" l="1"/>
  <c r="O12" i="6"/>
  <c r="U12" i="6"/>
  <c r="L10" i="12"/>
  <c r="K10" i="12"/>
  <c r="G10" i="12"/>
  <c r="G11" i="6" l="1"/>
  <c r="O11" i="6"/>
  <c r="L9" i="12" l="1"/>
  <c r="K9" i="12"/>
  <c r="G9" i="12"/>
  <c r="G10" i="6" l="1"/>
  <c r="L10" i="6"/>
  <c r="S10" i="6"/>
  <c r="L8" i="12"/>
  <c r="K8" i="12"/>
  <c r="G8" i="12"/>
  <c r="G9" i="6"/>
  <c r="L7" i="12" l="1"/>
  <c r="K7" i="12"/>
  <c r="G7" i="12"/>
  <c r="S8" i="6" l="1"/>
  <c r="U8" i="6" l="1"/>
  <c r="I8" i="6"/>
  <c r="L6" i="12"/>
  <c r="K6" i="12"/>
  <c r="G6" i="12"/>
  <c r="G7" i="6" l="1"/>
  <c r="L5" i="12" l="1"/>
  <c r="K5" i="12"/>
  <c r="G5" i="12"/>
  <c r="L4" i="12" l="1"/>
  <c r="L16" i="12" s="1"/>
  <c r="K4" i="12"/>
  <c r="G4" i="12"/>
  <c r="E6" i="6"/>
  <c r="K6" i="6"/>
  <c r="Q6" i="6"/>
  <c r="E7" i="6"/>
  <c r="K7" i="6"/>
  <c r="Q7" i="6"/>
  <c r="E8" i="6"/>
  <c r="K8" i="6"/>
  <c r="Q8" i="6"/>
  <c r="E9" i="6"/>
  <c r="K9" i="6"/>
  <c r="Q9" i="6"/>
  <c r="E10" i="6"/>
  <c r="K10" i="6"/>
  <c r="Q10" i="6"/>
  <c r="E11" i="6"/>
  <c r="K11" i="6"/>
  <c r="Q11" i="6"/>
  <c r="E12" i="6"/>
  <c r="K12" i="6"/>
  <c r="Q12" i="6"/>
  <c r="E13" i="6"/>
  <c r="K13" i="6"/>
  <c r="N18" i="6"/>
  <c r="Q13" i="6"/>
  <c r="E14" i="6"/>
  <c r="K14" i="6"/>
  <c r="Q14" i="6"/>
  <c r="E15" i="6"/>
  <c r="K15" i="6"/>
  <c r="Q15" i="6"/>
  <c r="E16" i="6"/>
  <c r="K16" i="6"/>
  <c r="Q16" i="6"/>
  <c r="E17" i="6"/>
  <c r="K17" i="6"/>
  <c r="Q17" i="6"/>
  <c r="F18" i="6"/>
  <c r="G18" i="6"/>
  <c r="I18" i="6"/>
  <c r="J18" i="6"/>
  <c r="M18" i="6"/>
  <c r="O18" i="6"/>
  <c r="P18" i="6"/>
  <c r="R18" i="6"/>
  <c r="S18" i="6"/>
  <c r="T18" i="6"/>
  <c r="U18" i="6"/>
  <c r="V18" i="6"/>
  <c r="K16" i="12"/>
  <c r="C6" i="12"/>
  <c r="C7" i="12"/>
  <c r="C9" i="12"/>
  <c r="C10" i="12"/>
  <c r="C11" i="12"/>
  <c r="C13" i="12"/>
  <c r="H16" i="12"/>
  <c r="D16" i="12"/>
  <c r="E16" i="12"/>
  <c r="F16" i="12"/>
  <c r="I16" i="12"/>
  <c r="J16" i="12"/>
  <c r="C26" i="12" l="1"/>
  <c r="L29" i="12"/>
  <c r="C28" i="12" s="1"/>
  <c r="C6" i="6"/>
  <c r="C17" i="6"/>
  <c r="C15" i="12"/>
  <c r="C14" i="12"/>
  <c r="C5" i="12"/>
  <c r="C12" i="12"/>
  <c r="C4" i="12"/>
  <c r="G16" i="12"/>
  <c r="C16" i="6"/>
  <c r="C12" i="6"/>
  <c r="C15" i="6"/>
  <c r="C14" i="6"/>
  <c r="C9" i="6"/>
  <c r="H18" i="6"/>
  <c r="Q18" i="6"/>
  <c r="C11" i="6"/>
  <c r="D7" i="6"/>
  <c r="D17" i="6"/>
  <c r="C10" i="6"/>
  <c r="D6" i="6"/>
  <c r="D13" i="6"/>
  <c r="C13" i="6"/>
  <c r="E18" i="6"/>
  <c r="K18" i="6"/>
  <c r="D8" i="6"/>
  <c r="D14" i="6"/>
  <c r="C8" i="6"/>
  <c r="D10" i="6"/>
  <c r="D16" i="6"/>
  <c r="C7" i="6"/>
  <c r="D15" i="6"/>
  <c r="L18" i="6"/>
  <c r="D11" i="6"/>
  <c r="D12" i="6"/>
  <c r="D9" i="6"/>
  <c r="C8" i="12"/>
  <c r="C29" i="12" l="1"/>
  <c r="C16" i="12"/>
  <c r="D18" i="6"/>
  <c r="C18" i="6"/>
  <c r="D3" i="12" l="1"/>
  <c r="C3" i="12"/>
  <c r="B3" i="12"/>
  <c r="A3" i="12"/>
  <c r="A1" i="12"/>
  <c r="J5" i="6" l="1"/>
  <c r="I5" i="6"/>
  <c r="H5" i="6"/>
  <c r="G5" i="6"/>
  <c r="F5" i="6"/>
  <c r="E5" i="6"/>
  <c r="D5" i="6"/>
  <c r="C5" i="6"/>
  <c r="A1" i="6"/>
</calcChain>
</file>

<file path=xl/sharedStrings.xml><?xml version="1.0" encoding="utf-8"?>
<sst xmlns="http://schemas.openxmlformats.org/spreadsheetml/2006/main" count="1065" uniqueCount="895">
  <si>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</si>
  <si>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</si>
  <si>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</si>
  <si>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</si>
  <si>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</si>
  <si>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</si>
  <si>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</si>
  <si>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</si>
  <si>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</si>
  <si>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</si>
  <si>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</si>
  <si>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</si>
  <si>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</si>
  <si>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</si>
  <si>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</si>
  <si>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</si>
  <si>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</si>
  <si>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</si>
  <si>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</si>
  <si>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</si>
  <si>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</si>
  <si>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</si>
  <si>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</si>
  <si>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</si>
  <si>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</si>
  <si>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</si>
  <si>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</si>
  <si>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</si>
  <si>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</si>
  <si>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</si>
  <si>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</si>
  <si>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</si>
  <si>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</si>
  <si>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</si>
  <si>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</si>
  <si>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</si>
  <si>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</si>
  <si>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</si>
  <si>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</si>
  <si>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</si>
  <si>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</si>
  <si>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</si>
  <si>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</si>
  <si>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</si>
  <si>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</si>
  <si>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</si>
  <si>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</si>
  <si>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</si>
  <si>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</si>
  <si>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</si>
  <si>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</si>
  <si>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</si>
  <si>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</si>
  <si>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</si>
  <si>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</si>
  <si>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</si>
  <si>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</si>
  <si>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</si>
  <si>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</si>
  <si>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</si>
  <si>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</si>
  <si>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</si>
  <si>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</si>
  <si>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</si>
  <si>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</si>
  <si>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</si>
  <si>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</si>
  <si>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</si>
  <si>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</si>
  <si>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</si>
  <si>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</si>
  <si>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</si>
  <si>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</si>
  <si>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</si>
  <si>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</si>
  <si>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</si>
  <si>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</si>
  <si>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</si>
  <si>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</si>
  <si>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</si>
  <si>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</si>
  <si>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</si>
  <si>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</si>
  <si>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</si>
  <si>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</si>
  <si>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</si>
  <si>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</si>
  <si>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</si>
  <si>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</si>
  <si>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</si>
  <si>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</si>
  <si>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</si>
  <si>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</si>
  <si>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</si>
  <si>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</si>
  <si>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</si>
  <si>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</si>
  <si>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</si>
  <si>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</si>
  <si>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</si>
  <si>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</si>
  <si>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</si>
  <si>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</si>
  <si>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</si>
  <si>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</si>
  <si>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</si>
  <si>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</si>
  <si>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</si>
  <si>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</si>
  <si>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</si>
  <si>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</si>
  <si>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</si>
  <si>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</si>
  <si>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</si>
  <si>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</si>
  <si>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</si>
  <si>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</si>
  <si>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</si>
  <si>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</si>
  <si>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</si>
  <si>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</si>
  <si>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</si>
  <si>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</si>
  <si>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</si>
  <si>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</si>
  <si>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</si>
  <si>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</si>
  <si>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</si>
  <si>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</si>
  <si>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</si>
  <si>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</si>
  <si>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</si>
  <si>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</si>
  <si>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</si>
  <si>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</si>
  <si>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</si>
  <si>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</si>
  <si>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</si>
  <si>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</si>
  <si>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</si>
  <si>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</si>
  <si>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</si>
  <si>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</si>
  <si>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</si>
  <si>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</si>
  <si>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</si>
  <si>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</si>
  <si>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</si>
  <si>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</si>
  <si>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</si>
  <si>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</si>
  <si>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</si>
  <si>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</si>
  <si>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</si>
  <si>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</si>
  <si>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</si>
  <si>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</si>
  <si>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</si>
  <si>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</si>
  <si>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</si>
  <si>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</si>
  <si>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</si>
  <si>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</si>
  <si>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</si>
  <si>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</si>
  <si>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</si>
  <si>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</si>
  <si>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</si>
  <si>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</si>
  <si>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</si>
  <si>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</si>
  <si>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</si>
  <si>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</si>
  <si>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</si>
  <si>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</si>
  <si>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</si>
  <si>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</si>
  <si>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</si>
  <si>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</si>
  <si>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</si>
  <si>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</si>
  <si>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</si>
  <si>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</si>
  <si>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</si>
  <si>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</si>
  <si>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</si>
  <si>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</si>
  <si>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</si>
  <si>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</si>
  <si>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</si>
  <si>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</si>
  <si>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</si>
  <si>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</si>
  <si>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</si>
  <si>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</si>
  <si>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</si>
  <si>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</si>
  <si>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</si>
  <si>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</si>
  <si>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</si>
  <si>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</si>
  <si>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</si>
  <si>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</si>
  <si>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</si>
  <si>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</si>
  <si>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</si>
  <si>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</si>
  <si>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</si>
  <si>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</si>
  <si>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</si>
  <si>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</si>
  <si>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</si>
  <si>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</si>
  <si>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</si>
  <si>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</si>
  <si>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</si>
  <si>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</si>
  <si>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</si>
  <si>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</si>
  <si>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</si>
  <si>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</si>
  <si>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</si>
  <si>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</si>
  <si>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</si>
  <si>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</si>
  <si>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</si>
  <si>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</si>
  <si>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</si>
  <si>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</si>
  <si>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</si>
  <si>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</si>
  <si>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</si>
  <si>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</si>
  <si>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</si>
  <si>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</si>
  <si>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</si>
  <si>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</si>
  <si>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</si>
  <si>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</si>
  <si>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</si>
  <si>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</si>
  <si>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</si>
  <si>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</si>
  <si>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</si>
  <si>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</si>
  <si>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</si>
  <si>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</si>
  <si>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</si>
  <si>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</si>
  <si>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</si>
  <si>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</si>
  <si>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</si>
  <si>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</si>
  <si>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</si>
  <si>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</si>
  <si>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</si>
  <si>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</si>
  <si>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</si>
  <si>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</si>
  <si>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</si>
  <si>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</si>
  <si>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</si>
  <si>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</si>
  <si>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</si>
  <si>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</si>
  <si>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</si>
  <si>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</si>
  <si>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</si>
  <si>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</si>
  <si>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</si>
  <si>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</si>
  <si>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</si>
  <si>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</si>
  <si>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</si>
  <si>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</si>
  <si>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</si>
  <si>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</si>
  <si>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</si>
  <si>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</si>
  <si>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</si>
  <si>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</si>
  <si>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</si>
  <si>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</si>
  <si>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</si>
  <si>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</si>
  <si>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</si>
  <si>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</si>
  <si>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</si>
  <si>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</si>
  <si>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</si>
  <si>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</si>
  <si>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</si>
  <si>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</si>
  <si>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</si>
  <si>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</si>
  <si>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</si>
  <si>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</si>
  <si>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</si>
  <si>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</si>
  <si>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</si>
  <si>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</si>
  <si>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</si>
  <si>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</si>
  <si>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</si>
  <si>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</si>
  <si>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</si>
  <si>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</si>
  <si>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</si>
  <si>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</si>
  <si>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</si>
  <si>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</si>
  <si>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</si>
  <si>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</si>
  <si>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</si>
  <si>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</si>
  <si>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</si>
  <si>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</si>
  <si>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</si>
  <si>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</si>
  <si>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</si>
  <si>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</si>
  <si>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</si>
  <si>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</si>
  <si>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</si>
  <si>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</si>
  <si>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</si>
  <si>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</si>
  <si>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</si>
  <si>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</si>
  <si>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</si>
  <si>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</si>
  <si>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</si>
  <si>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</si>
  <si>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</si>
  <si>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</si>
  <si>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</si>
  <si>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</si>
  <si>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</si>
  <si>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</si>
  <si>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</si>
  <si>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</si>
  <si>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</si>
  <si>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</si>
  <si>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</si>
  <si>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</si>
  <si>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</si>
  <si>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</si>
  <si>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</si>
  <si>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</si>
  <si>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</si>
  <si>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</si>
  <si>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</si>
  <si>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</si>
  <si>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</si>
  <si>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</si>
  <si>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</si>
  <si>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</si>
  <si>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</si>
  <si>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</si>
  <si>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</si>
  <si>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</si>
  <si>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</si>
  <si>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</si>
  <si>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</si>
  <si>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</si>
  <si>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</si>
  <si>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</si>
  <si>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</si>
  <si>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</si>
  <si>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</si>
  <si>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</si>
  <si>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</si>
  <si>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</si>
  <si>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</si>
  <si>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</si>
  <si>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</si>
  <si>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</si>
  <si>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</si>
  <si>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</si>
  <si>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</si>
  <si>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</si>
  <si>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</si>
  <si>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</si>
  <si>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</si>
  <si>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</si>
  <si>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</si>
  <si>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</si>
  <si>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</si>
  <si>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</si>
  <si>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</si>
  <si>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</si>
  <si>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</si>
  <si>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</si>
  <si>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</si>
  <si>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</si>
  <si>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</si>
  <si>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</si>
  <si>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</si>
  <si>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</si>
  <si>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</si>
  <si>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</si>
  <si>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</si>
  <si>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</si>
  <si>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</si>
  <si>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</si>
  <si>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</si>
  <si>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</si>
  <si>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</si>
  <si>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</si>
  <si>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</si>
  <si>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</si>
  <si>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</si>
  <si>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</si>
  <si>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</si>
  <si>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</si>
  <si>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</si>
  <si>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</si>
  <si>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</si>
  <si>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</si>
  <si>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</si>
  <si>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</si>
  <si>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</si>
  <si>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</si>
  <si>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</si>
  <si>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</si>
  <si>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</si>
  <si>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</si>
  <si>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</si>
  <si>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</si>
  <si>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</si>
  <si>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</si>
  <si>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</si>
  <si>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</si>
  <si>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</si>
  <si>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</si>
  <si>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</si>
  <si>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</si>
  <si>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</si>
  <si>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</si>
  <si>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</si>
  <si>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</si>
  <si>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</si>
  <si>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</si>
  <si>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</si>
  <si>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</si>
  <si>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</si>
  <si>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</si>
  <si>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</si>
  <si>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</si>
  <si>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</si>
  <si>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</si>
  <si>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</si>
  <si>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</si>
  <si>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</si>
  <si>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</si>
  <si>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</si>
  <si>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</si>
  <si>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</si>
  <si>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</si>
  <si>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</si>
  <si>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</si>
  <si>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</si>
  <si>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</si>
  <si>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</si>
  <si>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</si>
  <si>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</si>
  <si>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</si>
  <si>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</si>
  <si>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</si>
  <si>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</si>
  <si>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</si>
  <si>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</si>
  <si>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</si>
  <si>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</si>
  <si>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</si>
  <si>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</si>
  <si>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</si>
  <si>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</si>
  <si>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</si>
  <si>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</si>
  <si>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</si>
  <si>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</si>
  <si>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</si>
  <si>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</si>
  <si>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</si>
  <si>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</si>
  <si>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</si>
  <si>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</si>
  <si>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</si>
  <si>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</si>
  <si>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</si>
  <si>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</si>
  <si>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</si>
  <si>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</si>
  <si>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</si>
  <si>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</si>
  <si>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</si>
  <si>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</si>
  <si>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</si>
  <si>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</si>
  <si>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</si>
  <si>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</si>
  <si>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</si>
  <si>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</si>
  <si>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</si>
  <si>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</si>
  <si>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</si>
  <si>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</si>
  <si>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</si>
  <si>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</si>
  <si>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</si>
  <si>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</si>
  <si>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</si>
  <si>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</si>
  <si>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</si>
  <si>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</si>
  <si>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</si>
  <si>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</si>
  <si>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</si>
  <si>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</si>
  <si>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</si>
  <si>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</si>
  <si>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</si>
  <si>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</si>
  <si>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</si>
  <si>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</si>
  <si>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</si>
  <si>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</si>
  <si>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</si>
  <si>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</si>
  <si>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</si>
  <si>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</si>
  <si>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</si>
  <si>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</si>
  <si>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</si>
  <si>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</si>
  <si>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</si>
  <si>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</si>
  <si>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</si>
  <si>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</si>
  <si>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</si>
  <si>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</si>
  <si>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</si>
  <si>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</si>
  <si>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</si>
  <si>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</si>
  <si>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</si>
  <si>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</si>
  <si>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</si>
  <si>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</si>
  <si>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</si>
  <si>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</si>
  <si>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</si>
  <si>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</si>
  <si>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</si>
  <si>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</si>
  <si>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</si>
  <si>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</si>
  <si>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</si>
  <si>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</si>
  <si>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</si>
  <si>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</si>
  <si>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</si>
  <si>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</si>
  <si>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</si>
  <si>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</si>
  <si>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</si>
  <si>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</si>
  <si>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</si>
  <si>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</si>
  <si>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</si>
  <si>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</si>
  <si>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</si>
  <si>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</si>
  <si>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</si>
  <si>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</si>
  <si>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</si>
  <si>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</si>
  <si>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</si>
  <si>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</si>
  <si>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</si>
  <si>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</si>
  <si>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</si>
  <si>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</si>
  <si>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</si>
  <si>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</si>
  <si>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</si>
  <si>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</si>
  <si>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</si>
  <si>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</si>
  <si>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</si>
  <si>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</si>
  <si>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</si>
  <si>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</si>
  <si>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</si>
  <si>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</si>
  <si>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</si>
  <si>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</si>
  <si>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</si>
  <si>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</si>
  <si>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</si>
  <si>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</si>
  <si>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</si>
  <si>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</si>
  <si>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</si>
  <si>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</si>
  <si>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</si>
  <si>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</si>
  <si>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</si>
  <si>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</si>
  <si>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</si>
  <si>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</si>
  <si>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</si>
  <si>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</si>
  <si>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</si>
  <si>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</si>
  <si>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</si>
  <si>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</si>
  <si>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</si>
  <si>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</si>
  <si>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</si>
  <si>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</si>
  <si>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</si>
  <si>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</si>
  <si>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</si>
  <si>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</si>
  <si>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</si>
  <si>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</si>
  <si>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</si>
  <si>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</si>
  <si>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</si>
  <si>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</si>
  <si>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</si>
  <si>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</si>
  <si>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</si>
  <si>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</si>
  <si>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</si>
  <si>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</si>
  <si>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</si>
  <si>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</si>
  <si>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</si>
  <si>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</si>
  <si>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</si>
  <si>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</si>
  <si>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</si>
  <si>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</si>
  <si>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</si>
  <si>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</si>
  <si>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</si>
  <si>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</si>
  <si>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</si>
  <si>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</si>
  <si>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</si>
  <si>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</si>
  <si>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</si>
  <si>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</si>
  <si>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</si>
  <si>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</si>
  <si>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</si>
  <si>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</si>
  <si>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</si>
  <si>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</si>
  <si>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</si>
  <si>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</si>
  <si>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</si>
  <si>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</si>
  <si>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</si>
  <si>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</si>
  <si>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</si>
  <si>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</si>
  <si>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</si>
  <si>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</si>
  <si>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</si>
  <si>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</si>
  <si>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</si>
  <si>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</si>
  <si>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</si>
  <si>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</si>
  <si>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</si>
  <si>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</si>
  <si>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</si>
  <si>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</si>
  <si>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</si>
  <si>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</si>
  <si>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</si>
  <si>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</si>
  <si>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</si>
  <si>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</si>
  <si>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</si>
  <si>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</si>
  <si>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</si>
  <si>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</si>
  <si>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</si>
  <si>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</si>
  <si>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</si>
  <si>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</si>
  <si>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</si>
  <si>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</si>
  <si>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</si>
  <si>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</si>
  <si>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</si>
  <si>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</si>
  <si>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</si>
  <si>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</si>
  <si>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</si>
  <si>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</si>
  <si>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</si>
  <si>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</si>
  <si>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</si>
  <si>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</si>
  <si>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</si>
  <si>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</si>
  <si>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</si>
  <si>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</si>
  <si>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</si>
  <si>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</si>
  <si>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</si>
  <si>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</si>
  <si>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</si>
  <si>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</si>
  <si>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</si>
  <si>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</si>
  <si>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</si>
  <si>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</si>
  <si>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</si>
  <si>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</si>
  <si>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</si>
  <si>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</si>
  <si>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</si>
  <si>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</si>
  <si>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</si>
  <si>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</si>
  <si>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</si>
  <si>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</si>
  <si>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</si>
  <si>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</si>
  <si>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</si>
  <si>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</si>
  <si>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</si>
  <si>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</si>
  <si>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</si>
  <si>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</si>
  <si>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</si>
  <si>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</si>
  <si>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</si>
  <si>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</si>
  <si>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</si>
  <si>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</si>
  <si>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</si>
  <si>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</si>
  <si>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</si>
  <si>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</si>
  <si>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</si>
  <si>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</si>
  <si>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</si>
  <si>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</si>
  <si>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</si>
  <si>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</si>
  <si>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</si>
  <si>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</si>
  <si>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</si>
  <si>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</si>
  <si>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</si>
  <si>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</si>
  <si>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</si>
  <si>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</si>
  <si>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</si>
  <si>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</si>
  <si>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</si>
  <si>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</si>
  <si>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</si>
  <si>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</si>
  <si>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</si>
  <si>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</si>
  <si>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</si>
  <si>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</si>
  <si>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</si>
  <si>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</si>
  <si>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</si>
  <si>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</si>
  <si>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</si>
  <si>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</si>
  <si>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</si>
  <si>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</si>
  <si>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</si>
  <si>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</si>
  <si>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</si>
  <si>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</si>
  <si>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</si>
  <si>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</si>
  <si>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</si>
  <si>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</si>
  <si>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</si>
  <si>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</si>
  <si>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</si>
  <si>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</si>
  <si>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</si>
  <si>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</si>
  <si>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</si>
  <si>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</si>
  <si>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</si>
  <si>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</si>
  <si>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</si>
  <si>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</si>
  <si>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</si>
  <si>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</si>
  <si>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</si>
  <si>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</si>
  <si>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</si>
  <si>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</si>
  <si>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</si>
  <si>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</si>
  <si>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</si>
  <si>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</si>
  <si>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</si>
  <si>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</si>
  <si>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</si>
  <si>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</si>
  <si>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</si>
  <si>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</si>
  <si>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</si>
  <si>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</si>
  <si>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</si>
  <si>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</si>
  <si>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</si>
  <si>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</si>
  <si>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</si>
  <si>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</si>
  <si>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</si>
  <si>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</si>
  <si>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</si>
  <si>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</si>
  <si>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</si>
  <si>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</si>
  <si>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</si>
  <si>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</si>
  <si>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</si>
  <si>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</si>
  <si>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</si>
  <si>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</si>
  <si>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</si>
  <si>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</si>
  <si>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</si>
  <si>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</si>
  <si>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</si>
  <si>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</si>
  <si>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</si>
  <si>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</si>
  <si>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</si>
  <si>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</si>
  <si>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</si>
  <si>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</si>
  <si>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</si>
  <si>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</si>
  <si>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</si>
  <si>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</si>
  <si>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</si>
  <si>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</si>
  <si>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</si>
  <si>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</si>
  <si>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</si>
  <si>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</si>
  <si>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</si>
  <si>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</si>
  <si>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</si>
  <si>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</si>
  <si>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</si>
  <si>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</si>
  <si>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</si>
  <si>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</si>
  <si>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</si>
  <si>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</si>
  <si>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</si>
  <si>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</si>
  <si>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</si>
  <si>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</si>
  <si>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</si>
  <si>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</si>
  <si>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</si>
  <si>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</si>
  <si>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</si>
  <si>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</si>
  <si>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</si>
  <si>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</si>
  <si>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</si>
  <si>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</si>
  <si>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</si>
  <si>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</si>
  <si>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</si>
  <si>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</si>
  <si>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</si>
  <si>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Gjithsej 2024</t>
  </si>
  <si>
    <t>2025 Mars</t>
  </si>
  <si>
    <t>2025 Nëntor</t>
  </si>
  <si>
    <t>Gjithsej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</si>
</sst>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5" fillId="0" borderId="29" applyBorder="0"/>
  </cellStyleXfs>
  <cellXfs count="16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8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3" fontId="17" fillId="34" borderId="10" xfId="1" applyNumberFormat="1" applyFont="1" applyFill="1" applyBorder="1"/>
    <xf numFmtId="165" fontId="21" fillId="0" borderId="10" xfId="1" applyNumberFormat="1" applyFont="1" applyBorder="1" applyAlignment="1">
      <alignment horizontal="right"/>
    </xf>
    <xf numFmtId="165" fontId="17" fillId="34" borderId="10" xfId="1" applyNumberFormat="1" applyFont="1" applyFill="1" applyBorder="1"/>
    <xf numFmtId="4" fontId="17" fillId="34" borderId="10" xfId="1" applyNumberFormat="1" applyFont="1" applyFill="1" applyBorder="1"/>
    <xf numFmtId="165" fontId="1" fillId="0" borderId="10" xfId="1" applyNumberFormat="1" applyFont="1" applyBorder="1" applyAlignment="1">
      <alignment horizontal="right"/>
    </xf>
    <xf numFmtId="165" fontId="1" fillId="0" borderId="10" xfId="1" applyNumberFormat="1" applyFont="1" applyBorder="1"/>
    <xf numFmtId="4" fontId="1" fillId="0" borderId="10" xfId="1" applyNumberFormat="1" applyFont="1" applyBorder="1" applyAlignment="1">
      <alignment horizontal="right"/>
    </xf>
    <xf numFmtId="4" fontId="1" fillId="0" borderId="10" xfId="1" applyNumberFormat="1" applyFont="1" applyBorder="1"/>
    <xf numFmtId="165" fontId="21" fillId="38" borderId="10" xfId="1" applyNumberFormat="1" applyFont="1" applyFill="1" applyBorder="1" applyAlignment="1">
      <alignment horizontal="right"/>
    </xf>
    <xf numFmtId="165" fontId="21" fillId="2" borderId="10" xfId="119" applyNumberFormat="1" applyFont="1" applyFill="1" applyBorder="1" applyAlignment="1">
      <alignment horizontal="right"/>
    </xf>
    <xf numFmtId="165" fontId="21" fillId="38" borderId="10" xfId="119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4" fontId="21" fillId="38" borderId="10" xfId="1" applyNumberFormat="1" applyFont="1" applyFill="1" applyBorder="1" applyAlignment="1">
      <alignment horizontal="right"/>
    </xf>
    <xf numFmtId="4" fontId="21" fillId="2" borderId="10" xfId="119" applyNumberFormat="1" applyFont="1" applyFill="1" applyBorder="1" applyAlignment="1">
      <alignment horizontal="right"/>
    </xf>
    <xf numFmtId="4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165" fontId="21" fillId="2" borderId="10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3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/>
    <xf numFmtId="3" fontId="0" fillId="0" borderId="10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  <xf numFmtId="43" fontId="26" fillId="0" borderId="13" xfId="1" applyFont="1" applyFill="1" applyBorder="1" applyAlignment="1">
      <alignment horizontal="right"/>
    </xf>
    <xf numFmtId="165" fontId="0" fillId="0" borderId="38" xfId="1" applyNumberFormat="1" applyFont="1" applyFill="1" applyBorder="1" applyAlignment="1">
      <alignment horizontal="right"/>
    </xf>
    <xf numFmtId="0" fontId="27" fillId="2" borderId="0" xfId="0" applyFont="1" applyFill="1" applyProtection="1">
      <protection hidden="1"/>
    </xf>
    <xf numFmtId="0" fontId="27" fillId="2" borderId="0" xfId="0" applyFont="1" applyFill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/>
    <xf numFmtId="0" fontId="27" fillId="2" borderId="18" xfId="0" applyFont="1" applyFill="1" applyBorder="1" applyAlignment="1" applyProtection="1">
      <alignment horizontal="left" vertical="center"/>
      <protection hidden="1"/>
    </xf>
    <xf numFmtId="0" fontId="27" fillId="2" borderId="18" xfId="0" applyFont="1" applyFill="1" applyBorder="1" applyProtection="1">
      <protection hidden="1"/>
    </xf>
    <xf numFmtId="164" fontId="22" fillId="2" borderId="14" xfId="1" applyNumberFormat="1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20" xfId="0" applyFont="1" applyFill="1" applyBorder="1" applyAlignment="1" applyProtection="1">
      <alignment horizontal="center" wrapText="1"/>
      <protection hidden="1"/>
    </xf>
    <xf numFmtId="0" fontId="22" fillId="2" borderId="21" xfId="0" applyFont="1" applyFill="1" applyBorder="1" applyAlignment="1" applyProtection="1">
      <protection hidden="1"/>
    </xf>
    <xf numFmtId="0" fontId="22" fillId="2" borderId="22" xfId="0" applyFont="1" applyFill="1" applyBorder="1" applyAlignment="1" applyProtection="1">
      <protection hidden="1"/>
    </xf>
    <xf numFmtId="0" fontId="27" fillId="0" borderId="0" xfId="0" applyFont="1" applyAlignment="1" applyProtection="1">
      <protection hidden="1"/>
    </xf>
    <xf numFmtId="164" fontId="22" fillId="2" borderId="15" xfId="1" applyNumberFormat="1" applyFont="1" applyFill="1" applyBorder="1" applyAlignment="1" applyProtection="1">
      <alignment horizontal="center" wrapText="1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22" fillId="2" borderId="17" xfId="0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16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7" fillId="0" borderId="31" xfId="0" applyFont="1" applyBorder="1" applyProtection="1">
      <protection hidden="1"/>
    </xf>
    <xf numFmtId="43" fontId="27" fillId="0" borderId="10" xfId="1" applyNumberFormat="1" applyFont="1" applyBorder="1" applyProtection="1">
      <protection hidden="1"/>
    </xf>
    <xf numFmtId="43" fontId="27" fillId="0" borderId="23" xfId="1" applyNumberFormat="1" applyFont="1" applyBorder="1" applyProtection="1">
      <protection hidden="1"/>
    </xf>
    <xf numFmtId="43" fontId="27" fillId="2" borderId="13" xfId="1" applyNumberFormat="1" applyFont="1" applyFill="1" applyBorder="1" applyAlignment="1" applyProtection="1">
      <alignment horizontal="center"/>
      <protection hidden="1"/>
    </xf>
    <xf numFmtId="43" fontId="29" fillId="0" borderId="31" xfId="1" applyNumberFormat="1" applyFont="1" applyBorder="1" applyProtection="1">
      <protection hidden="1"/>
    </xf>
    <xf numFmtId="43" fontId="27" fillId="0" borderId="31" xfId="1" applyNumberFormat="1" applyFont="1" applyBorder="1" applyProtection="1">
      <protection hidden="1"/>
    </xf>
    <xf numFmtId="43" fontId="27" fillId="0" borderId="34" xfId="1" applyNumberFormat="1" applyFont="1" applyBorder="1" applyProtection="1">
      <protection hidden="1"/>
    </xf>
    <xf numFmtId="43" fontId="27" fillId="2" borderId="33" xfId="1" applyNumberFormat="1" applyFont="1" applyFill="1" applyBorder="1" applyAlignment="1" applyProtection="1">
      <alignment horizontal="center"/>
      <protection hidden="1"/>
    </xf>
    <xf numFmtId="43" fontId="27" fillId="0" borderId="0" xfId="1" applyNumberFormat="1" applyFont="1" applyFill="1" applyBorder="1" applyProtection="1">
      <protection hidden="1"/>
    </xf>
    <xf numFmtId="43" fontId="27" fillId="0" borderId="0" xfId="1" applyNumberFormat="1" applyFont="1" applyBorder="1" applyProtection="1">
      <protection hidden="1"/>
    </xf>
    <xf numFmtId="43" fontId="27" fillId="0" borderId="12" xfId="1" applyNumberFormat="1" applyFont="1" applyBorder="1" applyProtection="1">
      <protection hidden="1"/>
    </xf>
    <xf numFmtId="43" fontId="27" fillId="0" borderId="30" xfId="1" applyNumberFormat="1" applyFont="1" applyBorder="1" applyProtection="1">
      <protection hidden="1"/>
    </xf>
    <xf numFmtId="43" fontId="27" fillId="0" borderId="35" xfId="1" applyNumberFormat="1" applyFont="1" applyBorder="1" applyProtection="1">
      <protection hidden="1"/>
    </xf>
    <xf numFmtId="0" fontId="27" fillId="0" borderId="32" xfId="0" applyFont="1" applyBorder="1" applyProtection="1">
      <protection hidden="1"/>
    </xf>
    <xf numFmtId="43" fontId="29" fillId="0" borderId="32" xfId="1" applyNumberFormat="1" applyFont="1" applyBorder="1" applyProtection="1">
      <protection hidden="1"/>
    </xf>
    <xf numFmtId="43" fontId="27" fillId="0" borderId="12" xfId="1" applyNumberFormat="1" applyFont="1" applyFill="1" applyBorder="1" applyProtection="1">
      <protection hidden="1"/>
    </xf>
    <xf numFmtId="43" fontId="27" fillId="0" borderId="32" xfId="1" applyNumberFormat="1" applyFont="1" applyBorder="1" applyProtection="1">
      <protection hidden="1"/>
    </xf>
    <xf numFmtId="43" fontId="27" fillId="0" borderId="30" xfId="1" applyNumberFormat="1" applyFont="1" applyFill="1" applyBorder="1" applyProtection="1">
      <protection hidden="1"/>
    </xf>
    <xf numFmtId="43" fontId="27" fillId="0" borderId="35" xfId="1" applyNumberFormat="1" applyFont="1" applyFill="1" applyBorder="1" applyProtection="1">
      <protection hidden="1"/>
    </xf>
    <xf numFmtId="0" fontId="22" fillId="34" borderId="22" xfId="0" applyFont="1" applyFill="1" applyBorder="1" applyProtection="1">
      <protection hidden="1"/>
    </xf>
    <xf numFmtId="43" fontId="22" fillId="34" borderId="13" xfId="1" applyNumberFormat="1" applyFont="1" applyFill="1" applyBorder="1" applyAlignment="1" applyProtection="1">
      <alignment horizontal="center"/>
      <protection hidden="1"/>
    </xf>
    <xf numFmtId="43" fontId="22" fillId="34" borderId="25" xfId="1" applyNumberFormat="1" applyFont="1" applyFill="1" applyBorder="1" applyAlignment="1" applyProtection="1">
      <alignment horizontal="center"/>
      <protection hidden="1"/>
    </xf>
    <xf numFmtId="43" fontId="22" fillId="34" borderId="22" xfId="1" applyNumberFormat="1" applyFont="1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43" fontId="27" fillId="0" borderId="0" xfId="0" applyNumberFormat="1" applyFont="1" applyProtection="1"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43" fontId="26" fillId="2" borderId="13" xfId="1" applyFont="1" applyFill="1" applyBorder="1" applyAlignment="1">
      <alignment horizontal="right"/>
    </xf>
    <xf numFmtId="0" fontId="28" fillId="0" borderId="26" xfId="0" applyFont="1" applyBorder="1" applyAlignment="1" applyProtection="1">
      <alignment horizontal="center" vertical="center"/>
      <protection hidden="1"/>
    </xf>
    <xf numFmtId="0" fontId="28" fillId="0" borderId="36" xfId="0" applyFont="1" applyBorder="1" applyAlignment="1" applyProtection="1">
      <alignment horizontal="center" vertical="center"/>
      <protection hidden="1"/>
    </xf>
    <xf numFmtId="0" fontId="28" fillId="0" borderId="37" xfId="0" applyFont="1" applyBorder="1" applyAlignment="1" applyProtection="1">
      <alignment horizontal="center" vertical="center"/>
      <protection hidden="1"/>
    </xf>
    <xf numFmtId="0" fontId="28" fillId="0" borderId="33" xfId="0" applyFont="1" applyBorder="1" applyAlignment="1" applyProtection="1">
      <alignment horizontal="center" vertical="center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22" fillId="2" borderId="16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5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6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7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8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1287780</xdr:colOff>
          <xdr:row>0</xdr:row>
          <xdr:rowOff>144780</xdr:rowOff>
        </xdr:from>
        <xdr:to>
          <xdr:col>4</xdr:col>
          <xdr:colOff>1066800</xdr:colOff>
          <xdr:row>1</xdr:row>
          <xdr:rowOff>7620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1066800</xdr:colOff>
          <xdr:row>1</xdr:row>
          <xdr:rowOff>68580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1066800</xdr:colOff>
          <xdr:row>1</xdr:row>
          <xdr:rowOff>68580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utrime.bytyqi/AppData/Local/Microsoft/Windows/Temporary%20Internet%20Files/Content.Outlook/DA3U1Z4O/Copy%20of%20Formati%20Raporti%20mujor%20i%20shpenzimev%20buxhe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nik.sylejmani.MUN/AppData/Local/Microsoft/Windows/INetCache/Content.Outlook/GPDCZGXP/11_Formati-Raporti-mujor-i-shpenzimev-buxhetore-nentor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  <row r="2">
          <cell r="G2" t="str">
            <v>Tabela 1: Pagesat</v>
          </cell>
        </row>
        <row r="4">
          <cell r="I4" t="str">
            <v>Gjithsejt Pagesat</v>
          </cell>
          <cell r="J4" t="str">
            <v>Shpenzimet</v>
          </cell>
          <cell r="S4" t="str">
            <v>Qeveria Lokale</v>
          </cell>
          <cell r="T4" t="str">
            <v>Paga</v>
          </cell>
          <cell r="U4" t="str">
            <v>Mallra dhe shërbime</v>
          </cell>
          <cell r="V4" t="str">
            <v>Shpenzime komunale</v>
          </cell>
          <cell r="W4" t="str">
            <v>Subvencione dhe Transfere</v>
          </cell>
          <cell r="X4" t="str">
            <v>Shpenzime Kapitale</v>
          </cell>
        </row>
        <row r="11">
          <cell r="G11" t="str">
            <v>Tabela 1: Plaćanja</v>
          </cell>
        </row>
        <row r="13">
          <cell r="I13" t="str">
            <v>Ukupno plaćanja</v>
          </cell>
          <cell r="J13" t="str">
            <v>Troškovi</v>
          </cell>
          <cell r="S13" t="str">
            <v>Lokalna vlada</v>
          </cell>
          <cell r="T13" t="str">
            <v>Plate</v>
          </cell>
          <cell r="U13" t="str">
            <v>Roba i usluge</v>
          </cell>
          <cell r="V13" t="str">
            <v>Komunalije</v>
          </cell>
          <cell r="W13" t="str">
            <v>Subvencije i transferi</v>
          </cell>
          <cell r="X13" t="str">
            <v>Kapitalni troškovi</v>
          </cell>
        </row>
        <row r="21">
          <cell r="G21" t="str">
            <v>Table 1: Payments</v>
          </cell>
        </row>
        <row r="23">
          <cell r="I23" t="str">
            <v>Total Payments</v>
          </cell>
          <cell r="J23" t="str">
            <v>Budget Expenditures</v>
          </cell>
          <cell r="S23" t="str">
            <v>Local Government</v>
          </cell>
          <cell r="T23" t="str">
            <v>Wages and Salaries</v>
          </cell>
          <cell r="U23" t="str">
            <v>Goods and Services</v>
          </cell>
          <cell r="V23" t="str">
            <v>Utilities</v>
          </cell>
          <cell r="W23" t="str">
            <v>Subventions and Transfers</v>
          </cell>
          <cell r="X23" t="str">
            <v>Capital Investments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  <row r="6">
          <cell r="G6" t="str">
            <v>Tabela 2: Pranimet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6">
          <cell r="G16" t="str">
            <v>Tabela 2: Prijemi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6">
          <cell r="G26" t="str">
            <v>Table 2: Receipts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G45"/>
  <sheetViews>
    <sheetView zoomScale="53" zoomScaleNormal="53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sqref="A1:W31"/>
    </sheetView>
  </sheetViews>
  <sheetFormatPr defaultColWidth="9.109375" defaultRowHeight="14.4" x14ac:dyDescent="0.3"/>
  <cols>
    <col min="1" max="1" width="5.44140625" style="69" customWidth="1"/>
    <col min="2" max="2" width="24" style="69" customWidth="1"/>
    <col min="3" max="3" width="21.88671875" style="69" customWidth="1"/>
    <col min="4" max="4" width="15.109375" style="69" hidden="1" customWidth="1"/>
    <col min="5" max="5" width="21.5546875" style="72" customWidth="1"/>
    <col min="6" max="7" width="20" style="69" bestFit="1" customWidth="1"/>
    <col min="8" max="8" width="17.6640625" style="69" bestFit="1" customWidth="1"/>
    <col min="9" max="9" width="20" style="69" bestFit="1" customWidth="1"/>
    <col min="10" max="12" width="21.6640625" style="69" bestFit="1" customWidth="1"/>
    <col min="13" max="13" width="23.44140625" style="69" customWidth="1"/>
    <col min="14" max="14" width="19.5546875" style="69" customWidth="1"/>
    <col min="15" max="15" width="20" style="69" bestFit="1" customWidth="1"/>
    <col min="16" max="16" width="17.6640625" style="69" bestFit="1" customWidth="1"/>
    <col min="17" max="17" width="19" style="69" customWidth="1"/>
    <col min="18" max="19" width="20" style="69" bestFit="1" customWidth="1"/>
    <col min="20" max="20" width="16.88671875" style="69" customWidth="1"/>
    <col min="21" max="22" width="17.6640625" style="69" bestFit="1" customWidth="1"/>
    <col min="23" max="16384" width="9.109375" style="69"/>
  </cols>
  <sheetData>
    <row r="1" spans="1:33" ht="26.25" customHeight="1" x14ac:dyDescent="0.4">
      <c r="A1" s="68" t="str">
        <f>IF([1]L!$A$1=1,[1]L!G2,IF([1]L!$A$1=2,[1]L!G11,[1]L!G21))</f>
        <v>Tabela 1: Pagesat</v>
      </c>
      <c r="B1" s="104"/>
      <c r="C1" s="104"/>
      <c r="D1" s="159" t="s">
        <v>609</v>
      </c>
      <c r="E1" s="105"/>
      <c r="F1" s="104"/>
      <c r="G1" s="104"/>
      <c r="H1" s="104"/>
      <c r="I1" s="104"/>
      <c r="J1" s="104"/>
      <c r="K1" s="106"/>
      <c r="L1" s="106"/>
      <c r="M1" s="107"/>
      <c r="N1" s="108"/>
      <c r="O1" s="107"/>
      <c r="P1" s="107"/>
      <c r="Q1" s="106"/>
      <c r="R1" s="107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2" spans="1:33" ht="18.75" customHeight="1" x14ac:dyDescent="0.4">
      <c r="A2" s="109" t="s">
        <v>876</v>
      </c>
      <c r="B2" s="110"/>
      <c r="C2" s="110"/>
      <c r="D2" s="160"/>
      <c r="E2" s="68"/>
      <c r="F2" s="68"/>
      <c r="G2" s="68"/>
      <c r="H2" s="68"/>
      <c r="I2" s="68"/>
      <c r="J2" s="68"/>
      <c r="K2" s="106"/>
      <c r="L2" s="106"/>
      <c r="M2" s="106"/>
      <c r="N2" s="106"/>
      <c r="O2" s="107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 s="70" customFormat="1" ht="12.75" customHeight="1" x14ac:dyDescent="0.4">
      <c r="A3" s="161"/>
      <c r="B3" s="161"/>
      <c r="C3" s="111"/>
      <c r="D3" s="112"/>
      <c r="E3" s="113"/>
      <c r="F3" s="114"/>
      <c r="G3" s="114"/>
      <c r="H3" s="114"/>
      <c r="I3" s="114"/>
      <c r="J3" s="115"/>
      <c r="K3" s="113"/>
      <c r="L3" s="114"/>
      <c r="M3" s="114"/>
      <c r="N3" s="114"/>
      <c r="O3" s="114"/>
      <c r="P3" s="115"/>
      <c r="Q3" s="113"/>
      <c r="R3" s="114"/>
      <c r="S3" s="114"/>
      <c r="T3" s="114"/>
      <c r="U3" s="114"/>
      <c r="V3" s="115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</row>
    <row r="4" spans="1:33" s="70" customFormat="1" ht="12.75" customHeight="1" x14ac:dyDescent="0.4">
      <c r="A4" s="162"/>
      <c r="B4" s="162"/>
      <c r="C4" s="117"/>
      <c r="D4" s="118"/>
      <c r="E4" s="119"/>
      <c r="F4" s="112"/>
      <c r="G4" s="120"/>
      <c r="H4" s="120"/>
      <c r="I4" s="120"/>
      <c r="J4" s="120"/>
      <c r="K4" s="119"/>
      <c r="L4" s="112"/>
      <c r="M4" s="120"/>
      <c r="N4" s="120"/>
      <c r="O4" s="120"/>
      <c r="P4" s="120"/>
      <c r="Q4" s="119"/>
      <c r="R4" s="112"/>
      <c r="S4" s="120"/>
      <c r="T4" s="120"/>
      <c r="U4" s="157" t="s">
        <v>21</v>
      </c>
      <c r="V4" s="120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</row>
    <row r="5" spans="1:33" s="71" customFormat="1" ht="57" customHeight="1" x14ac:dyDescent="0.4">
      <c r="A5" s="162"/>
      <c r="B5" s="163"/>
      <c r="C5" s="121" t="str">
        <f>IF([1]L!$A$1=1,[1]L!I4,IF([1]L!$A$1=2,[1]L!I13,[1]L!I23))</f>
        <v>Gjithsejt Pagesat</v>
      </c>
      <c r="D5" s="122" t="str">
        <f>IF([1]L!$A$1=1,[1]L!J4,IF([1]L!$A$1=2,[1]L!J13,[1]L!J23))</f>
        <v>Shpenzimet</v>
      </c>
      <c r="E5" s="122" t="str">
        <f>IF([1]L!$A$1=1,[1]L!S4,IF([1]L!$A$1=2,[1]L!S13,[1]L!S23))</f>
        <v>Qeveria Lokale</v>
      </c>
      <c r="F5" s="122" t="str">
        <f>IF([1]L!$A$1=1,[1]L!T4,IF([1]L!$A$1=2,[1]L!T13,[1]L!T23))</f>
        <v>Paga</v>
      </c>
      <c r="G5" s="122" t="str">
        <f>IF([1]L!$A$1=1,[1]L!U4,IF([1]L!$A$1=2,[1]L!U13,[1]L!U23))</f>
        <v>Mallra dhe shërbime</v>
      </c>
      <c r="H5" s="122" t="str">
        <f>IF([1]L!$A$1=1,[1]L!V4,IF([1]L!$A$1=2,[1]L!V13,[1]L!V23))</f>
        <v>Shpenzime komunale</v>
      </c>
      <c r="I5" s="122" t="str">
        <f>IF([1]L!$A$1=1,[1]L!W4,IF([1]L!$A$1=2,[1]L!W13,[1]L!W23))</f>
        <v>Subvencione dhe Transfere</v>
      </c>
      <c r="J5" s="122" t="str">
        <f>IF([1]L!$A$1=1,[1]L!X4,IF([1]L!$A$1=2,[1]L!X13,[1]L!X23))</f>
        <v>Shpenzime Kapitale</v>
      </c>
      <c r="K5" s="122" t="s">
        <v>868</v>
      </c>
      <c r="L5" s="122" t="s">
        <v>0</v>
      </c>
      <c r="M5" s="122" t="s">
        <v>32</v>
      </c>
      <c r="N5" s="122" t="s">
        <v>33</v>
      </c>
      <c r="O5" s="122" t="s">
        <v>21</v>
      </c>
      <c r="P5" s="122" t="s">
        <v>35</v>
      </c>
      <c r="Q5" s="122" t="s">
        <v>869</v>
      </c>
      <c r="R5" s="122" t="s">
        <v>0</v>
      </c>
      <c r="S5" s="122" t="s">
        <v>32</v>
      </c>
      <c r="T5" s="122" t="s">
        <v>33</v>
      </c>
      <c r="U5" s="158"/>
      <c r="V5" s="122" t="s">
        <v>35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</row>
    <row r="6" spans="1:33" ht="21" x14ac:dyDescent="0.4">
      <c r="A6" s="153">
        <v>2024</v>
      </c>
      <c r="B6" s="124" t="s">
        <v>879</v>
      </c>
      <c r="C6" s="125">
        <f>E6+K6+Q6</f>
        <v>1646605.12</v>
      </c>
      <c r="D6" s="126">
        <f t="shared" ref="D6:D17" si="0">+E6+K6+Q6</f>
        <v>1646605.12</v>
      </c>
      <c r="E6" s="127">
        <f>SUM(F6:J6)</f>
        <v>213006.44</v>
      </c>
      <c r="F6" s="128">
        <v>213006.44</v>
      </c>
      <c r="G6" s="125"/>
      <c r="H6" s="125"/>
      <c r="I6" s="125"/>
      <c r="J6" s="126"/>
      <c r="K6" s="127">
        <f>SUM(L6:P6)</f>
        <v>1167100.32</v>
      </c>
      <c r="L6" s="129">
        <v>1163127.23</v>
      </c>
      <c r="M6" s="125">
        <v>3973.09</v>
      </c>
      <c r="N6" s="125"/>
      <c r="O6" s="125"/>
      <c r="P6" s="126"/>
      <c r="Q6" s="127">
        <f>SUM(R6:V6)</f>
        <v>266498.36</v>
      </c>
      <c r="R6" s="129">
        <v>266498.36</v>
      </c>
      <c r="S6" s="125"/>
      <c r="T6" s="125"/>
      <c r="U6" s="125"/>
      <c r="V6" s="130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</row>
    <row r="7" spans="1:33" ht="21" x14ac:dyDescent="0.4">
      <c r="A7" s="154"/>
      <c r="B7" s="124" t="s">
        <v>880</v>
      </c>
      <c r="C7" s="125">
        <f t="shared" ref="C7:C11" si="1">E7+K7+Q7</f>
        <v>5735139.8500000006</v>
      </c>
      <c r="D7" s="126">
        <f t="shared" si="0"/>
        <v>5735139.8500000006</v>
      </c>
      <c r="E7" s="131">
        <f t="shared" ref="E7:E11" si="2">SUM(F7:J7)</f>
        <v>3817204.37</v>
      </c>
      <c r="F7" s="129">
        <v>210936.36</v>
      </c>
      <c r="G7" s="125">
        <f>1389386.77-500</f>
        <v>1388886.77</v>
      </c>
      <c r="H7" s="125">
        <v>171630.84</v>
      </c>
      <c r="I7" s="125">
        <v>37660</v>
      </c>
      <c r="J7" s="126">
        <v>2008090.4</v>
      </c>
      <c r="K7" s="127">
        <f t="shared" ref="K7:K9" si="3">SUM(L7:P7)</f>
        <v>1407057.53</v>
      </c>
      <c r="L7" s="129">
        <v>1396140.39</v>
      </c>
      <c r="M7" s="125">
        <v>9919.02</v>
      </c>
      <c r="N7" s="125">
        <v>998.12</v>
      </c>
      <c r="O7" s="125"/>
      <c r="P7" s="126"/>
      <c r="Q7" s="127">
        <f t="shared" ref="Q7:Q17" si="4">SUM(R7:V7)</f>
        <v>510877.95</v>
      </c>
      <c r="R7" s="129">
        <v>272550.59000000003</v>
      </c>
      <c r="S7" s="125">
        <v>229160.69</v>
      </c>
      <c r="T7" s="125">
        <v>9166.67</v>
      </c>
      <c r="U7" s="125"/>
      <c r="V7" s="130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</row>
    <row r="8" spans="1:33" ht="21" x14ac:dyDescent="0.4">
      <c r="A8" s="154"/>
      <c r="B8" s="124" t="s">
        <v>881</v>
      </c>
      <c r="C8" s="125">
        <f t="shared" si="1"/>
        <v>3523806.18</v>
      </c>
      <c r="D8" s="126">
        <f t="shared" si="0"/>
        <v>3523806.18</v>
      </c>
      <c r="E8" s="131">
        <f t="shared" si="2"/>
        <v>1260584.3099999998</v>
      </c>
      <c r="F8" s="128">
        <v>215651.49</v>
      </c>
      <c r="G8" s="125">
        <v>505462.47</v>
      </c>
      <c r="H8" s="125">
        <v>64379.09</v>
      </c>
      <c r="I8" s="125">
        <f>315750-1690</f>
        <v>314060</v>
      </c>
      <c r="J8" s="126">
        <v>161031.26</v>
      </c>
      <c r="K8" s="127">
        <f t="shared" si="3"/>
        <v>1715542.9300000002</v>
      </c>
      <c r="L8" s="129">
        <v>1247529.5900000001</v>
      </c>
      <c r="M8" s="125">
        <v>233608.07</v>
      </c>
      <c r="N8" s="125">
        <v>10071.75</v>
      </c>
      <c r="O8" s="125"/>
      <c r="P8" s="126">
        <v>224333.52</v>
      </c>
      <c r="Q8" s="127">
        <f t="shared" si="4"/>
        <v>547678.93999999994</v>
      </c>
      <c r="R8" s="129">
        <v>260591.71</v>
      </c>
      <c r="S8" s="125">
        <f>184834.75-500</f>
        <v>184334.75</v>
      </c>
      <c r="T8" s="125">
        <v>2922.48</v>
      </c>
      <c r="U8" s="125">
        <f>101430-1600</f>
        <v>99830</v>
      </c>
      <c r="V8" s="130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</row>
    <row r="9" spans="1:33" ht="21" x14ac:dyDescent="0.4">
      <c r="A9" s="154"/>
      <c r="B9" s="124" t="s">
        <v>882</v>
      </c>
      <c r="C9" s="125">
        <f t="shared" si="1"/>
        <v>5509683.75</v>
      </c>
      <c r="D9" s="126">
        <f t="shared" si="0"/>
        <v>5509683.75</v>
      </c>
      <c r="E9" s="131">
        <f t="shared" si="2"/>
        <v>3368762.0999999996</v>
      </c>
      <c r="F9" s="128">
        <v>208413.74</v>
      </c>
      <c r="G9" s="125">
        <f>1035578.7-700</f>
        <v>1034878.7</v>
      </c>
      <c r="H9" s="125">
        <v>64918.48</v>
      </c>
      <c r="I9" s="125">
        <v>9590</v>
      </c>
      <c r="J9" s="132">
        <v>2050961.18</v>
      </c>
      <c r="K9" s="127">
        <f t="shared" si="3"/>
        <v>1588651.4400000002</v>
      </c>
      <c r="L9" s="129">
        <v>1375158.31</v>
      </c>
      <c r="M9" s="125">
        <v>85083.54</v>
      </c>
      <c r="N9" s="125">
        <v>8410.35</v>
      </c>
      <c r="O9" s="125"/>
      <c r="P9" s="126">
        <v>119999.24</v>
      </c>
      <c r="Q9" s="127">
        <f t="shared" si="4"/>
        <v>552270.21</v>
      </c>
      <c r="R9" s="129">
        <v>263397.94</v>
      </c>
      <c r="S9" s="125">
        <v>288872.27</v>
      </c>
      <c r="T9" s="125"/>
      <c r="U9" s="125"/>
      <c r="V9" s="130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</row>
    <row r="10" spans="1:33" ht="21" x14ac:dyDescent="0.4">
      <c r="A10" s="154"/>
      <c r="B10" s="124" t="s">
        <v>883</v>
      </c>
      <c r="C10" s="125">
        <f t="shared" si="1"/>
        <v>3863953.22</v>
      </c>
      <c r="D10" s="126">
        <f t="shared" si="0"/>
        <v>3863953.22</v>
      </c>
      <c r="E10" s="131">
        <f t="shared" si="2"/>
        <v>1721848.1800000002</v>
      </c>
      <c r="F10" s="128">
        <v>208180.13</v>
      </c>
      <c r="G10" s="125">
        <f>685024.28+500</f>
        <v>685524.28</v>
      </c>
      <c r="H10" s="125">
        <v>319.60000000000002</v>
      </c>
      <c r="I10" s="125">
        <v>34440</v>
      </c>
      <c r="J10" s="126">
        <v>793384.17</v>
      </c>
      <c r="K10" s="127">
        <f>SUM(L10:P10)</f>
        <v>1809606.31</v>
      </c>
      <c r="L10" s="125">
        <f>1541687.72-531.23</f>
        <v>1541156.49</v>
      </c>
      <c r="M10" s="125">
        <v>110516.33</v>
      </c>
      <c r="N10" s="125">
        <v>10733.74</v>
      </c>
      <c r="O10" s="125"/>
      <c r="P10" s="126">
        <v>147199.75</v>
      </c>
      <c r="Q10" s="127">
        <f t="shared" si="4"/>
        <v>332498.73000000004</v>
      </c>
      <c r="R10" s="129">
        <v>280757.32</v>
      </c>
      <c r="S10" s="125">
        <f>47872.27-500</f>
        <v>47372.27</v>
      </c>
      <c r="T10" s="125">
        <v>4369.1400000000003</v>
      </c>
      <c r="U10" s="125"/>
      <c r="V10" s="130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</row>
    <row r="11" spans="1:33" ht="21" x14ac:dyDescent="0.4">
      <c r="A11" s="154"/>
      <c r="B11" s="124" t="s">
        <v>884</v>
      </c>
      <c r="C11" s="125">
        <f t="shared" si="1"/>
        <v>4155783.92</v>
      </c>
      <c r="D11" s="126">
        <f t="shared" si="0"/>
        <v>4155783.92</v>
      </c>
      <c r="E11" s="131">
        <f t="shared" si="2"/>
        <v>1822853.9</v>
      </c>
      <c r="F11" s="128">
        <v>216719.59</v>
      </c>
      <c r="G11" s="125">
        <f>415842.89-1000</f>
        <v>414842.89</v>
      </c>
      <c r="H11" s="125">
        <v>74396.92</v>
      </c>
      <c r="I11" s="125">
        <v>193320</v>
      </c>
      <c r="J11" s="126">
        <v>923574.5</v>
      </c>
      <c r="K11" s="127">
        <f>SUM(L11:P11)</f>
        <v>1895731.85</v>
      </c>
      <c r="L11" s="125">
        <v>1266149.8600000001</v>
      </c>
      <c r="M11" s="125">
        <v>82384.59</v>
      </c>
      <c r="N11" s="125">
        <v>8700</v>
      </c>
      <c r="O11" s="125">
        <f>450000-1500</f>
        <v>448500</v>
      </c>
      <c r="P11" s="126">
        <v>89997.4</v>
      </c>
      <c r="Q11" s="127">
        <f t="shared" si="4"/>
        <v>437198.17000000004</v>
      </c>
      <c r="R11" s="129">
        <v>267320.98</v>
      </c>
      <c r="S11" s="125">
        <v>134992.17000000001</v>
      </c>
      <c r="T11" s="125">
        <v>4335.0200000000004</v>
      </c>
      <c r="U11" s="125">
        <v>30550</v>
      </c>
      <c r="V11" s="130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</row>
    <row r="12" spans="1:33" ht="21" x14ac:dyDescent="0.4">
      <c r="A12" s="154"/>
      <c r="B12" s="124" t="s">
        <v>885</v>
      </c>
      <c r="C12" s="125">
        <f>E12+K12+Q12</f>
        <v>4450341.18</v>
      </c>
      <c r="D12" s="126">
        <f t="shared" si="0"/>
        <v>4450341.18</v>
      </c>
      <c r="E12" s="131">
        <f>SUM(F12:J12)</f>
        <v>2528573.92</v>
      </c>
      <c r="F12" s="128">
        <v>220543.74</v>
      </c>
      <c r="G12" s="125">
        <f>662644.63-7282.6+1300</f>
        <v>656662.03</v>
      </c>
      <c r="H12" s="125">
        <v>195160.53</v>
      </c>
      <c r="I12" s="125">
        <f>90377.8-1000</f>
        <v>89377.8</v>
      </c>
      <c r="J12" s="126">
        <v>1366829.82</v>
      </c>
      <c r="K12" s="127">
        <f>SUM(L12:P12)</f>
        <v>1487458.49</v>
      </c>
      <c r="L12" s="125">
        <v>1177455.56</v>
      </c>
      <c r="M12" s="125">
        <v>101824.42</v>
      </c>
      <c r="N12" s="125">
        <v>8031.75</v>
      </c>
      <c r="O12" s="125">
        <f>104114-900-500</f>
        <v>102714</v>
      </c>
      <c r="P12" s="126">
        <v>97432.76</v>
      </c>
      <c r="Q12" s="127">
        <f t="shared" si="4"/>
        <v>434308.77</v>
      </c>
      <c r="R12" s="129">
        <v>276534.19</v>
      </c>
      <c r="S12" s="125">
        <v>11400</v>
      </c>
      <c r="T12" s="125">
        <v>4491.13</v>
      </c>
      <c r="U12" s="125">
        <f>70350-1100</f>
        <v>69250</v>
      </c>
      <c r="V12" s="130">
        <v>72633.45</v>
      </c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</row>
    <row r="13" spans="1:33" ht="21" x14ac:dyDescent="0.4">
      <c r="A13" s="154"/>
      <c r="B13" s="124" t="s">
        <v>886</v>
      </c>
      <c r="C13" s="125">
        <f>E13+K13+Q13</f>
        <v>4119446.9499999997</v>
      </c>
      <c r="D13" s="126">
        <f t="shared" si="0"/>
        <v>4119446.9499999997</v>
      </c>
      <c r="E13" s="131">
        <f>SUM(F13:J13)</f>
        <v>2251908.0199999996</v>
      </c>
      <c r="F13" s="128">
        <v>214224.24</v>
      </c>
      <c r="G13" s="125">
        <f>502230.98-1800-1000-45.22-1300</f>
        <v>498085.76</v>
      </c>
      <c r="H13" s="125">
        <v>181.08</v>
      </c>
      <c r="I13" s="125">
        <f>83272.56-1900</f>
        <v>81372.56</v>
      </c>
      <c r="J13" s="126">
        <f>1555257.13-50000-40000-7212.75</f>
        <v>1458044.38</v>
      </c>
      <c r="K13" s="127">
        <f t="shared" ref="K13:K17" si="5">SUM(L13:P13)</f>
        <v>1246923.58</v>
      </c>
      <c r="L13" s="129">
        <v>1165667.7</v>
      </c>
      <c r="M13" s="125">
        <v>70416.070000000007</v>
      </c>
      <c r="N13" s="125">
        <v>8339.81</v>
      </c>
      <c r="O13" s="125">
        <f>3400-900</f>
        <v>2500</v>
      </c>
      <c r="P13" s="126"/>
      <c r="Q13" s="127">
        <f t="shared" si="4"/>
        <v>620615.35</v>
      </c>
      <c r="R13" s="129">
        <v>255263.49</v>
      </c>
      <c r="S13" s="125">
        <v>130452.24</v>
      </c>
      <c r="T13" s="125">
        <f>21730.62-11000</f>
        <v>10730.619999999999</v>
      </c>
      <c r="U13" s="125">
        <v>170</v>
      </c>
      <c r="V13" s="130">
        <v>223999</v>
      </c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</row>
    <row r="14" spans="1:33" ht="21" x14ac:dyDescent="0.4">
      <c r="A14" s="154"/>
      <c r="B14" s="124" t="s">
        <v>887</v>
      </c>
      <c r="C14" s="125">
        <f t="shared" ref="C14:C17" si="6">E14+K14+Q14</f>
        <v>2584035.79</v>
      </c>
      <c r="D14" s="126">
        <f t="shared" si="0"/>
        <v>2584035.79</v>
      </c>
      <c r="E14" s="131">
        <f t="shared" ref="E14:E17" si="7">SUM(F14:J14)</f>
        <v>991849.40999999992</v>
      </c>
      <c r="F14" s="128">
        <v>213796.39</v>
      </c>
      <c r="G14" s="133">
        <v>234531.61</v>
      </c>
      <c r="H14" s="125">
        <v>4960.05</v>
      </c>
      <c r="I14" s="125">
        <v>802</v>
      </c>
      <c r="J14" s="126">
        <v>537759.36</v>
      </c>
      <c r="K14" s="127">
        <f t="shared" si="5"/>
        <v>1307558.43</v>
      </c>
      <c r="L14" s="129">
        <v>1168463.24</v>
      </c>
      <c r="M14" s="125">
        <v>88693.2</v>
      </c>
      <c r="N14" s="125"/>
      <c r="O14" s="125">
        <v>460</v>
      </c>
      <c r="P14" s="126">
        <v>49941.99</v>
      </c>
      <c r="Q14" s="127">
        <f t="shared" si="4"/>
        <v>284627.94999999995</v>
      </c>
      <c r="R14" s="129">
        <v>251709.96</v>
      </c>
      <c r="S14" s="125">
        <v>2917.99</v>
      </c>
      <c r="T14" s="125"/>
      <c r="U14" s="125"/>
      <c r="V14" s="130">
        <v>30000</v>
      </c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</row>
    <row r="15" spans="1:33" ht="21" x14ac:dyDescent="0.4">
      <c r="A15" s="155"/>
      <c r="B15" s="124" t="s">
        <v>888</v>
      </c>
      <c r="C15" s="125">
        <f t="shared" si="6"/>
        <v>2004884.94</v>
      </c>
      <c r="D15" s="126">
        <f t="shared" si="0"/>
        <v>2004884.94</v>
      </c>
      <c r="E15" s="131">
        <f t="shared" si="7"/>
        <v>446147.55</v>
      </c>
      <c r="F15" s="128">
        <v>214000.65</v>
      </c>
      <c r="G15" s="125">
        <v>14000</v>
      </c>
      <c r="H15" s="125">
        <v>-1853.1</v>
      </c>
      <c r="I15" s="134"/>
      <c r="J15" s="135">
        <v>220000</v>
      </c>
      <c r="K15" s="127">
        <f t="shared" si="5"/>
        <v>1294477.79</v>
      </c>
      <c r="L15" s="129">
        <f>1177523.48-10231.99</f>
        <v>1167291.49</v>
      </c>
      <c r="M15" s="125">
        <v>107000</v>
      </c>
      <c r="N15" s="134"/>
      <c r="O15" s="134"/>
      <c r="P15" s="135">
        <v>20186.3</v>
      </c>
      <c r="Q15" s="127">
        <f t="shared" si="4"/>
        <v>264259.59999999998</v>
      </c>
      <c r="R15" s="129">
        <v>258606.61</v>
      </c>
      <c r="S15" s="125"/>
      <c r="T15" s="134">
        <v>5652.99</v>
      </c>
      <c r="U15" s="134"/>
      <c r="V15" s="13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</row>
    <row r="16" spans="1:33" ht="21" x14ac:dyDescent="0.4">
      <c r="A16" s="155"/>
      <c r="B16" s="124" t="s">
        <v>889</v>
      </c>
      <c r="C16" s="125">
        <f t="shared" si="6"/>
        <v>3584422.34</v>
      </c>
      <c r="D16" s="126">
        <f t="shared" si="0"/>
        <v>3584422.34</v>
      </c>
      <c r="E16" s="131">
        <f t="shared" si="7"/>
        <v>1900250.12</v>
      </c>
      <c r="F16" s="128">
        <v>214082.69</v>
      </c>
      <c r="G16" s="125">
        <v>387036.19</v>
      </c>
      <c r="H16" s="125">
        <v>6594.06</v>
      </c>
      <c r="I16" s="134">
        <f>219394.64-2000</f>
        <v>217394.64</v>
      </c>
      <c r="J16" s="135">
        <v>1075142.54</v>
      </c>
      <c r="K16" s="127">
        <f t="shared" si="5"/>
        <v>1332706.68</v>
      </c>
      <c r="L16" s="129">
        <v>1167924.49</v>
      </c>
      <c r="M16" s="125">
        <v>91283.05</v>
      </c>
      <c r="N16" s="134">
        <v>21741.14</v>
      </c>
      <c r="O16" s="134"/>
      <c r="P16" s="135">
        <v>51758</v>
      </c>
      <c r="Q16" s="127">
        <f t="shared" si="4"/>
        <v>351465.54</v>
      </c>
      <c r="R16" s="129">
        <v>271062.17</v>
      </c>
      <c r="S16" s="125">
        <v>61204.87</v>
      </c>
      <c r="T16" s="134">
        <v>13331.95</v>
      </c>
      <c r="U16" s="134"/>
      <c r="V16" s="136">
        <v>5866.55</v>
      </c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</row>
    <row r="17" spans="1:33" ht="21" x14ac:dyDescent="0.4">
      <c r="A17" s="155"/>
      <c r="B17" s="137" t="s">
        <v>890</v>
      </c>
      <c r="C17" s="134">
        <f t="shared" si="6"/>
        <v>1788279.9500000002</v>
      </c>
      <c r="D17" s="135">
        <f t="shared" si="0"/>
        <v>1788279.9500000002</v>
      </c>
      <c r="E17" s="131">
        <f t="shared" si="7"/>
        <v>321210.01999999996</v>
      </c>
      <c r="F17" s="138">
        <v>213193.07</v>
      </c>
      <c r="G17" s="134">
        <f>76860.07-180.6-41.69-500+1000</f>
        <v>77137.78</v>
      </c>
      <c r="H17" s="125">
        <v>1118.5</v>
      </c>
      <c r="I17" s="139">
        <v>29220</v>
      </c>
      <c r="J17" s="135">
        <v>540.66999999999996</v>
      </c>
      <c r="K17" s="127">
        <f t="shared" si="5"/>
        <v>1189048.79</v>
      </c>
      <c r="L17" s="140">
        <v>1165442.3</v>
      </c>
      <c r="M17" s="134">
        <f>18010.85-248.03</f>
        <v>17762.82</v>
      </c>
      <c r="N17" s="139">
        <v>5843.67</v>
      </c>
      <c r="O17" s="139"/>
      <c r="P17" s="141"/>
      <c r="Q17" s="127">
        <f t="shared" si="4"/>
        <v>278021.14</v>
      </c>
      <c r="R17" s="140">
        <v>270367.03000000003</v>
      </c>
      <c r="S17" s="125">
        <v>7654.11</v>
      </c>
      <c r="T17" s="139"/>
      <c r="U17" s="139"/>
      <c r="V17" s="142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</row>
    <row r="18" spans="1:33" ht="21" x14ac:dyDescent="0.4">
      <c r="A18" s="156"/>
      <c r="B18" s="143" t="s">
        <v>891</v>
      </c>
      <c r="C18" s="144">
        <f>E18+K18+Q18</f>
        <v>42966383.190000005</v>
      </c>
      <c r="D18" s="144">
        <f>SUM(D6:D17)</f>
        <v>42966383.189999998</v>
      </c>
      <c r="E18" s="144">
        <f>SUM(E6:E17)</f>
        <v>20644198.34</v>
      </c>
      <c r="F18" s="144">
        <f>SUM(F6:F17)</f>
        <v>2562748.5299999998</v>
      </c>
      <c r="G18" s="144">
        <f>SUM(G6:G17)</f>
        <v>5897048.4800000004</v>
      </c>
      <c r="H18" s="144">
        <f>SUM(H6:H17)</f>
        <v>581806.05000000005</v>
      </c>
      <c r="I18" s="144">
        <f t="shared" ref="I18:J18" si="8">SUM(I6:I17)</f>
        <v>1007237.0000000001</v>
      </c>
      <c r="J18" s="144">
        <f t="shared" si="8"/>
        <v>10595358.279999999</v>
      </c>
      <c r="K18" s="144">
        <f>SUM(K6:K17)</f>
        <v>17441864.140000001</v>
      </c>
      <c r="L18" s="144">
        <f t="shared" ref="L18" si="9">SUM(L6:L17)</f>
        <v>15001506.65</v>
      </c>
      <c r="M18" s="144">
        <f>SUM(M6:M17)</f>
        <v>1002464.2000000001</v>
      </c>
      <c r="N18" s="144">
        <f t="shared" ref="N18:R18" si="10">SUM(N6:N17)</f>
        <v>82870.33</v>
      </c>
      <c r="O18" s="144">
        <f t="shared" si="10"/>
        <v>554174</v>
      </c>
      <c r="P18" s="145">
        <f t="shared" si="10"/>
        <v>800848.96000000008</v>
      </c>
      <c r="Q18" s="144">
        <f t="shared" si="10"/>
        <v>4880320.709999999</v>
      </c>
      <c r="R18" s="146">
        <f t="shared" si="10"/>
        <v>3194660.3499999996</v>
      </c>
      <c r="S18" s="144">
        <f>SUM(S6:S17)</f>
        <v>1098361.3600000001</v>
      </c>
      <c r="T18" s="144">
        <f t="shared" ref="T18:V18" si="11">SUM(T6:T17)</f>
        <v>55000</v>
      </c>
      <c r="U18" s="144">
        <f t="shared" si="11"/>
        <v>199800</v>
      </c>
      <c r="V18" s="144">
        <f t="shared" si="11"/>
        <v>332499</v>
      </c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</row>
    <row r="19" spans="1:33" ht="21" x14ac:dyDescent="0.4">
      <c r="A19" s="153">
        <v>2025</v>
      </c>
      <c r="B19" s="124" t="s">
        <v>795</v>
      </c>
      <c r="C19" s="125">
        <f>E19+K19+Q19</f>
        <v>4042475.3899999997</v>
      </c>
      <c r="D19" s="126">
        <f t="shared" ref="D19:D30" si="12">+E19+K19+Q19</f>
        <v>4042475.3899999997</v>
      </c>
      <c r="E19" s="127">
        <f>SUM(F19:J19)</f>
        <v>1744620.2399999998</v>
      </c>
      <c r="F19" s="128">
        <v>240103.86</v>
      </c>
      <c r="G19" s="125">
        <v>1504516.38</v>
      </c>
      <c r="H19" s="125"/>
      <c r="I19" s="125"/>
      <c r="J19" s="126"/>
      <c r="K19" s="127">
        <f>SUM(L19:P19)</f>
        <v>1478896.85</v>
      </c>
      <c r="L19" s="129">
        <v>1269763.28</v>
      </c>
      <c r="M19" s="125">
        <v>208368.88</v>
      </c>
      <c r="N19" s="125">
        <v>764.69</v>
      </c>
      <c r="O19" s="125"/>
      <c r="P19" s="126"/>
      <c r="Q19" s="127">
        <f>SUM(R19:V19)</f>
        <v>818958.3</v>
      </c>
      <c r="R19" s="129">
        <v>272182.8</v>
      </c>
      <c r="S19" s="125">
        <v>546775.5</v>
      </c>
      <c r="T19" s="125"/>
      <c r="U19" s="125"/>
      <c r="V19" s="130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</row>
    <row r="20" spans="1:33" ht="21" x14ac:dyDescent="0.4">
      <c r="A20" s="154"/>
      <c r="B20" s="124" t="s">
        <v>798</v>
      </c>
      <c r="C20" s="125">
        <f t="shared" ref="C20:C24" si="13">E20+K20+Q20</f>
        <v>10661044.91</v>
      </c>
      <c r="D20" s="126">
        <f t="shared" si="12"/>
        <v>10661044.91</v>
      </c>
      <c r="E20" s="131">
        <f t="shared" ref="E20:E24" si="14">SUM(F20:J20)</f>
        <v>7160610.6600000001</v>
      </c>
      <c r="F20" s="129">
        <v>252740.11</v>
      </c>
      <c r="G20" s="125">
        <f>1788720.46-1000</f>
        <v>1787720.46</v>
      </c>
      <c r="H20" s="125">
        <v>494302.85</v>
      </c>
      <c r="I20" s="125">
        <f>78334.16-950</f>
        <v>77384.160000000003</v>
      </c>
      <c r="J20" s="126">
        <f>4613905.38-65442.3</f>
        <v>4548463.08</v>
      </c>
      <c r="K20" s="127">
        <f t="shared" ref="K20:K22" si="15">SUM(L20:P20)</f>
        <v>2417829.64</v>
      </c>
      <c r="L20" s="129">
        <v>1269517.23</v>
      </c>
      <c r="M20" s="125">
        <v>256236.78</v>
      </c>
      <c r="N20" s="125">
        <v>17185.09</v>
      </c>
      <c r="O20" s="125">
        <v>499927.06</v>
      </c>
      <c r="P20" s="126">
        <v>374963.48</v>
      </c>
      <c r="Q20" s="127">
        <f t="shared" ref="Q20:Q30" si="16">SUM(R20:V20)</f>
        <v>1082604.6099999999</v>
      </c>
      <c r="R20" s="129">
        <v>275958.92</v>
      </c>
      <c r="S20" s="125">
        <f>375651.44-26849.7</f>
        <v>348801.74</v>
      </c>
      <c r="T20" s="125">
        <v>19999.95</v>
      </c>
      <c r="U20" s="125">
        <f>149944-2100</f>
        <v>147844</v>
      </c>
      <c r="V20" s="130">
        <v>290000</v>
      </c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  <row r="21" spans="1:33" ht="21" x14ac:dyDescent="0.4">
      <c r="A21" s="154"/>
      <c r="B21" s="124" t="s">
        <v>892</v>
      </c>
      <c r="C21" s="125">
        <f t="shared" si="13"/>
        <v>4983677.92</v>
      </c>
      <c r="D21" s="126">
        <f t="shared" si="12"/>
        <v>4983677.92</v>
      </c>
      <c r="E21" s="131">
        <f t="shared" si="14"/>
        <v>2862431</v>
      </c>
      <c r="F21" s="128">
        <v>247897.33</v>
      </c>
      <c r="G21" s="125">
        <f>1173992.74-2722.5-14395.61+1000</f>
        <v>1157874.6299999999</v>
      </c>
      <c r="H21" s="125">
        <v>899.41</v>
      </c>
      <c r="I21" s="125">
        <f>436800.95-2000-700-1800</f>
        <v>432300.95</v>
      </c>
      <c r="J21" s="126">
        <f>1024644-1185.32</f>
        <v>1023458.68</v>
      </c>
      <c r="K21" s="127">
        <f t="shared" si="15"/>
        <v>1548856.43</v>
      </c>
      <c r="L21" s="129">
        <v>1274611.78</v>
      </c>
      <c r="M21" s="125">
        <v>256667.22</v>
      </c>
      <c r="N21" s="125">
        <v>17577.43</v>
      </c>
      <c r="O21" s="125"/>
      <c r="P21" s="126"/>
      <c r="Q21" s="127">
        <f t="shared" si="16"/>
        <v>572390.49</v>
      </c>
      <c r="R21" s="129">
        <v>270521.68</v>
      </c>
      <c r="S21" s="125">
        <f>102329.81-500</f>
        <v>101829.81</v>
      </c>
      <c r="T21" s="125"/>
      <c r="U21" s="125">
        <f>126840-800</f>
        <v>126040</v>
      </c>
      <c r="V21" s="130">
        <v>73999</v>
      </c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</row>
    <row r="22" spans="1:33" ht="21" x14ac:dyDescent="0.4">
      <c r="A22" s="154"/>
      <c r="B22" s="124" t="s">
        <v>804</v>
      </c>
      <c r="C22" s="125">
        <f t="shared" si="13"/>
        <v>4231756.1899999995</v>
      </c>
      <c r="D22" s="126">
        <f t="shared" si="12"/>
        <v>4231756.1899999995</v>
      </c>
      <c r="E22" s="131">
        <f t="shared" si="14"/>
        <v>2391841.5499999998</v>
      </c>
      <c r="F22" s="128">
        <v>234349.09</v>
      </c>
      <c r="G22" s="125">
        <f>610595.66-500</f>
        <v>610095.66</v>
      </c>
      <c r="H22" s="125">
        <v>3397.39</v>
      </c>
      <c r="I22" s="125">
        <f>292427.7-2686.64</f>
        <v>289741.06</v>
      </c>
      <c r="J22" s="132">
        <v>1254258.3500000001</v>
      </c>
      <c r="K22" s="127">
        <f t="shared" si="15"/>
        <v>1367650.9100000001</v>
      </c>
      <c r="L22" s="129">
        <v>1275400.58</v>
      </c>
      <c r="M22" s="125">
        <v>77835.960000000006</v>
      </c>
      <c r="N22" s="125">
        <v>14414.37</v>
      </c>
      <c r="O22" s="125"/>
      <c r="P22" s="126"/>
      <c r="Q22" s="127">
        <f t="shared" si="16"/>
        <v>472263.72999999992</v>
      </c>
      <c r="R22" s="129">
        <v>276130.46999999997</v>
      </c>
      <c r="S22" s="125">
        <v>126297.49</v>
      </c>
      <c r="T22" s="125">
        <v>12706.54</v>
      </c>
      <c r="U22" s="125"/>
      <c r="V22" s="130">
        <v>57129.23</v>
      </c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</row>
    <row r="23" spans="1:33" ht="21" x14ac:dyDescent="0.4">
      <c r="A23" s="154"/>
      <c r="B23" s="124" t="s">
        <v>806</v>
      </c>
      <c r="C23" s="125">
        <f t="shared" si="13"/>
        <v>4973543.25</v>
      </c>
      <c r="D23" s="126">
        <f t="shared" si="12"/>
        <v>4973543.25</v>
      </c>
      <c r="E23" s="131">
        <f t="shared" si="14"/>
        <v>2738687.27</v>
      </c>
      <c r="F23" s="128">
        <v>243046.07</v>
      </c>
      <c r="G23" s="125">
        <v>689565.2</v>
      </c>
      <c r="H23" s="125">
        <v>450.91</v>
      </c>
      <c r="I23" s="125">
        <v>2250</v>
      </c>
      <c r="J23" s="126">
        <v>1803375.09</v>
      </c>
      <c r="K23" s="127">
        <f>SUM(L23:P23)</f>
        <v>1942517.25</v>
      </c>
      <c r="L23" s="125">
        <v>1275017.97</v>
      </c>
      <c r="M23" s="125">
        <v>325466.23</v>
      </c>
      <c r="N23" s="125">
        <v>9761.67</v>
      </c>
      <c r="O23" s="125"/>
      <c r="P23" s="126">
        <v>332271.38</v>
      </c>
      <c r="Q23" s="127">
        <f t="shared" si="16"/>
        <v>292338.73000000004</v>
      </c>
      <c r="R23" s="129">
        <v>273409.76</v>
      </c>
      <c r="S23" s="125">
        <v>12335.59</v>
      </c>
      <c r="T23" s="125">
        <v>6593.38</v>
      </c>
      <c r="U23" s="125"/>
      <c r="V23" s="130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</row>
    <row r="24" spans="1:33" ht="21" x14ac:dyDescent="0.4">
      <c r="A24" s="154"/>
      <c r="B24" s="124" t="s">
        <v>808</v>
      </c>
      <c r="C24" s="125">
        <f t="shared" si="13"/>
        <v>3408237.3000000003</v>
      </c>
      <c r="D24" s="126">
        <f t="shared" si="12"/>
        <v>3408237.3000000003</v>
      </c>
      <c r="E24" s="131">
        <f t="shared" si="14"/>
        <v>1669659.25</v>
      </c>
      <c r="F24" s="128">
        <v>244775.12</v>
      </c>
      <c r="G24" s="125">
        <v>535425.05000000005</v>
      </c>
      <c r="H24" s="125">
        <v>1443.81</v>
      </c>
      <c r="I24" s="125">
        <v>2000</v>
      </c>
      <c r="J24" s="126">
        <v>886015.27</v>
      </c>
      <c r="K24" s="127">
        <f>SUM(L24:P24)</f>
        <v>1367651.82</v>
      </c>
      <c r="L24" s="125">
        <v>1281045.3500000001</v>
      </c>
      <c r="M24" s="125">
        <v>78197.03</v>
      </c>
      <c r="N24" s="125">
        <v>8409.44</v>
      </c>
      <c r="O24" s="125"/>
      <c r="P24" s="126"/>
      <c r="Q24" s="127">
        <f t="shared" si="16"/>
        <v>370926.23</v>
      </c>
      <c r="R24" s="129">
        <v>270953.23</v>
      </c>
      <c r="S24" s="125">
        <v>99973</v>
      </c>
      <c r="T24" s="125"/>
      <c r="U24" s="125"/>
      <c r="V24" s="130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</row>
    <row r="25" spans="1:33" ht="21" x14ac:dyDescent="0.4">
      <c r="A25" s="154"/>
      <c r="B25" s="124" t="s">
        <v>811</v>
      </c>
      <c r="C25" s="125">
        <f>E25+K25+Q25</f>
        <v>5387740.3200000003</v>
      </c>
      <c r="D25" s="126">
        <f t="shared" si="12"/>
        <v>5387740.3200000003</v>
      </c>
      <c r="E25" s="131">
        <f>SUM(F25:J25)</f>
        <v>2425830.67</v>
      </c>
      <c r="F25" s="128">
        <v>260994.63</v>
      </c>
      <c r="G25" s="125">
        <v>676932.78</v>
      </c>
      <c r="H25" s="125">
        <v>152677.29999999999</v>
      </c>
      <c r="I25" s="125">
        <v>149483.72</v>
      </c>
      <c r="J25" s="126">
        <v>1185742.24</v>
      </c>
      <c r="K25" s="127">
        <f>SUM(L25:P25)</f>
        <v>2331143.9500000002</v>
      </c>
      <c r="L25" s="125">
        <v>1384093.44</v>
      </c>
      <c r="M25" s="125">
        <v>283063.32</v>
      </c>
      <c r="N25" s="125">
        <v>43487.19</v>
      </c>
      <c r="O25" s="125">
        <v>549500</v>
      </c>
      <c r="P25" s="126">
        <v>71000</v>
      </c>
      <c r="Q25" s="127">
        <f t="shared" si="16"/>
        <v>630765.69999999995</v>
      </c>
      <c r="R25" s="129">
        <v>287968.48</v>
      </c>
      <c r="S25" s="125">
        <v>248017.22</v>
      </c>
      <c r="T25" s="125"/>
      <c r="U25" s="125">
        <v>94780</v>
      </c>
      <c r="V25" s="130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</row>
    <row r="26" spans="1:33" ht="21" x14ac:dyDescent="0.4">
      <c r="A26" s="154"/>
      <c r="B26" s="124" t="s">
        <v>814</v>
      </c>
      <c r="C26" s="125">
        <f>E26+K26+Q26</f>
        <v>2719258.1799999997</v>
      </c>
      <c r="D26" s="126">
        <f t="shared" si="12"/>
        <v>2719258.1799999997</v>
      </c>
      <c r="E26" s="131">
        <f>SUM(F26:J26)</f>
        <v>953700.14999999991</v>
      </c>
      <c r="F26" s="128">
        <v>272431.42</v>
      </c>
      <c r="G26" s="125">
        <v>281671.43</v>
      </c>
      <c r="H26" s="125">
        <v>7108.43</v>
      </c>
      <c r="I26" s="125">
        <v>5322.94</v>
      </c>
      <c r="J26" s="126">
        <v>387165.92999999993</v>
      </c>
      <c r="K26" s="127">
        <f t="shared" ref="K26:K30" si="17">SUM(L26:P26)</f>
        <v>1437380.32</v>
      </c>
      <c r="L26" s="129">
        <v>1377127.17</v>
      </c>
      <c r="M26" s="125">
        <v>58584.1</v>
      </c>
      <c r="N26" s="125">
        <v>1669.05</v>
      </c>
      <c r="O26" s="125"/>
      <c r="P26" s="126"/>
      <c r="Q26" s="127">
        <f t="shared" si="16"/>
        <v>328177.71000000002</v>
      </c>
      <c r="R26" s="129">
        <v>282765.42</v>
      </c>
      <c r="S26" s="125">
        <v>41675.879999999997</v>
      </c>
      <c r="T26" s="125">
        <v>865.64</v>
      </c>
      <c r="U26" s="125"/>
      <c r="V26" s="130">
        <v>2870.77</v>
      </c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</row>
    <row r="27" spans="1:33" ht="21" x14ac:dyDescent="0.4">
      <c r="A27" s="154"/>
      <c r="B27" s="124" t="s">
        <v>817</v>
      </c>
      <c r="C27" s="125">
        <f t="shared" ref="C27:C30" si="18">E27+K27+Q27</f>
        <v>2173216.8600000003</v>
      </c>
      <c r="D27" s="126">
        <f t="shared" si="12"/>
        <v>2173216.8600000003</v>
      </c>
      <c r="E27" s="131">
        <f t="shared" ref="E27:E30" si="19">SUM(F27:J27)</f>
        <v>359098.45000000007</v>
      </c>
      <c r="F27" s="128">
        <v>263526.78000000003</v>
      </c>
      <c r="G27" s="133">
        <v>79187.899999999994</v>
      </c>
      <c r="H27" s="125">
        <v>990.4</v>
      </c>
      <c r="I27" s="125">
        <v>900</v>
      </c>
      <c r="J27" s="126">
        <v>14493.37</v>
      </c>
      <c r="K27" s="127">
        <f t="shared" si="17"/>
        <v>1427147.6600000001</v>
      </c>
      <c r="L27" s="129">
        <v>1366987.03</v>
      </c>
      <c r="M27" s="125">
        <v>56706.78</v>
      </c>
      <c r="N27" s="125">
        <v>2953.85</v>
      </c>
      <c r="O27" s="125">
        <v>500</v>
      </c>
      <c r="P27" s="126"/>
      <c r="Q27" s="127">
        <f t="shared" si="16"/>
        <v>386970.75</v>
      </c>
      <c r="R27" s="129">
        <v>298392.14</v>
      </c>
      <c r="S27" s="125">
        <v>5819.1</v>
      </c>
      <c r="T27" s="125">
        <v>32459.51</v>
      </c>
      <c r="U27" s="125">
        <v>300</v>
      </c>
      <c r="V27" s="130">
        <v>50000</v>
      </c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</row>
    <row r="28" spans="1:33" ht="21" x14ac:dyDescent="0.4">
      <c r="A28" s="155"/>
      <c r="B28" s="124" t="s">
        <v>820</v>
      </c>
      <c r="C28" s="125">
        <f t="shared" si="18"/>
        <v>2673529.3599999994</v>
      </c>
      <c r="D28" s="126">
        <f t="shared" si="12"/>
        <v>2673529.3599999994</v>
      </c>
      <c r="E28" s="131">
        <f t="shared" si="19"/>
        <v>932537.21</v>
      </c>
      <c r="F28" s="128">
        <v>255192.54</v>
      </c>
      <c r="G28" s="125">
        <v>149389.45000000001</v>
      </c>
      <c r="H28" s="125"/>
      <c r="I28" s="134">
        <v>266491</v>
      </c>
      <c r="J28" s="135">
        <v>261464.22</v>
      </c>
      <c r="K28" s="127">
        <f t="shared" si="17"/>
        <v>1434142.3499999999</v>
      </c>
      <c r="L28" s="129">
        <v>1376241.41</v>
      </c>
      <c r="M28" s="125">
        <v>50405.16</v>
      </c>
      <c r="N28" s="134">
        <v>7495.78</v>
      </c>
      <c r="O28" s="134"/>
      <c r="P28" s="135"/>
      <c r="Q28" s="127">
        <f t="shared" si="16"/>
        <v>306849.8</v>
      </c>
      <c r="R28" s="129">
        <v>297349.92</v>
      </c>
      <c r="S28" s="125">
        <v>5522.75</v>
      </c>
      <c r="T28" s="134">
        <v>3977.13</v>
      </c>
      <c r="U28" s="134"/>
      <c r="V28" s="13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</row>
    <row r="29" spans="1:33" ht="21" x14ac:dyDescent="0.4">
      <c r="A29" s="155"/>
      <c r="B29" s="124" t="s">
        <v>893</v>
      </c>
      <c r="C29" s="125">
        <f t="shared" si="18"/>
        <v>2326257.1</v>
      </c>
      <c r="D29" s="126">
        <f t="shared" si="12"/>
        <v>2326257.1</v>
      </c>
      <c r="E29" s="131">
        <f t="shared" si="19"/>
        <v>566842.41999999993</v>
      </c>
      <c r="F29" s="128">
        <v>261977.08</v>
      </c>
      <c r="G29" s="125">
        <v>152987.51</v>
      </c>
      <c r="H29" s="125">
        <v>615.98</v>
      </c>
      <c r="I29" s="134">
        <v>138396.82999999999</v>
      </c>
      <c r="J29" s="135">
        <v>12865.02</v>
      </c>
      <c r="K29" s="127">
        <f t="shared" si="17"/>
        <v>1451987.2000000002</v>
      </c>
      <c r="L29" s="129">
        <v>1383456.45</v>
      </c>
      <c r="M29" s="125">
        <v>1165.57</v>
      </c>
      <c r="N29" s="134">
        <v>3480.62</v>
      </c>
      <c r="O29" s="134"/>
      <c r="P29" s="135">
        <v>63884.56</v>
      </c>
      <c r="Q29" s="127">
        <f t="shared" si="16"/>
        <v>307427.48000000004</v>
      </c>
      <c r="R29" s="129">
        <v>272190.21000000002</v>
      </c>
      <c r="S29" s="125">
        <v>31937.27</v>
      </c>
      <c r="T29" s="134">
        <v>3300</v>
      </c>
      <c r="U29" s="134"/>
      <c r="V29" s="13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</row>
    <row r="30" spans="1:33" ht="21" x14ac:dyDescent="0.4">
      <c r="A30" s="155"/>
      <c r="B30" s="137" t="s">
        <v>826</v>
      </c>
      <c r="C30" s="134">
        <f t="shared" si="18"/>
        <v>2104336.0699999998</v>
      </c>
      <c r="D30" s="135">
        <f t="shared" si="12"/>
        <v>2104336.0699999998</v>
      </c>
      <c r="E30" s="131">
        <f t="shared" si="19"/>
        <v>387597.65</v>
      </c>
      <c r="F30" s="138">
        <v>271584.14</v>
      </c>
      <c r="G30" s="134">
        <v>57737.07</v>
      </c>
      <c r="H30" s="125">
        <v>606.47</v>
      </c>
      <c r="I30" s="139">
        <v>10000</v>
      </c>
      <c r="J30" s="135">
        <v>47669.97</v>
      </c>
      <c r="K30" s="127">
        <f t="shared" si="17"/>
        <v>1413424.5799999998</v>
      </c>
      <c r="L30" s="140">
        <v>1384850.43</v>
      </c>
      <c r="M30" s="134">
        <v>28574.15</v>
      </c>
      <c r="N30" s="139"/>
      <c r="O30" s="139"/>
      <c r="P30" s="141"/>
      <c r="Q30" s="127">
        <f t="shared" si="16"/>
        <v>303313.84000000003</v>
      </c>
      <c r="R30" s="140">
        <v>291721.2</v>
      </c>
      <c r="S30" s="125">
        <v>11496.01</v>
      </c>
      <c r="T30" s="139">
        <v>96.63</v>
      </c>
      <c r="U30" s="139"/>
      <c r="V30" s="142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</row>
    <row r="31" spans="1:33" ht="21" x14ac:dyDescent="0.4">
      <c r="A31" s="156"/>
      <c r="B31" s="143" t="s">
        <v>794</v>
      </c>
      <c r="C31" s="144">
        <f>E31+K31+Q31</f>
        <v>49685072.849999994</v>
      </c>
      <c r="D31" s="144">
        <f>SUM(D19:D30)</f>
        <v>49685072.850000001</v>
      </c>
      <c r="E31" s="144">
        <f>SUM(E19:E30)</f>
        <v>24193456.519999996</v>
      </c>
      <c r="F31" s="144">
        <f>SUM(F19:F30)</f>
        <v>3048618.1700000004</v>
      </c>
      <c r="G31" s="144">
        <f>SUM(G19:G30)</f>
        <v>7683103.5200000005</v>
      </c>
      <c r="H31" s="144">
        <f>SUM(H19:H30)</f>
        <v>662492.94999999995</v>
      </c>
      <c r="I31" s="144">
        <f t="shared" ref="I31:J31" si="20">SUM(I19:I30)</f>
        <v>1374270.66</v>
      </c>
      <c r="J31" s="144">
        <f t="shared" si="20"/>
        <v>11424971.219999999</v>
      </c>
      <c r="K31" s="144">
        <f>SUM(K19:K30)</f>
        <v>19618628.960000001</v>
      </c>
      <c r="L31" s="144">
        <f t="shared" ref="L31" si="21">SUM(L19:L30)</f>
        <v>15918112.119999997</v>
      </c>
      <c r="M31" s="144">
        <f>SUM(M19:M30)</f>
        <v>1681271.18</v>
      </c>
      <c r="N31" s="144">
        <f t="shared" ref="N31:R31" si="22">SUM(N19:N30)</f>
        <v>127199.18000000001</v>
      </c>
      <c r="O31" s="144">
        <f t="shared" si="22"/>
        <v>1049927.06</v>
      </c>
      <c r="P31" s="145">
        <f t="shared" si="22"/>
        <v>842119.41999999993</v>
      </c>
      <c r="Q31" s="144">
        <f t="shared" si="22"/>
        <v>5872987.3700000001</v>
      </c>
      <c r="R31" s="146">
        <f t="shared" si="22"/>
        <v>3369544.23</v>
      </c>
      <c r="S31" s="144">
        <f>SUM(S19:S30)</f>
        <v>1580481.36</v>
      </c>
      <c r="T31" s="144">
        <f t="shared" ref="T31:V31" si="23">SUM(T19:T30)</f>
        <v>79998.780000000013</v>
      </c>
      <c r="U31" s="144">
        <f t="shared" si="23"/>
        <v>368964</v>
      </c>
      <c r="V31" s="144">
        <f t="shared" si="23"/>
        <v>473999</v>
      </c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</row>
    <row r="32" spans="1:33" ht="21" x14ac:dyDescent="0.4">
      <c r="A32" s="106"/>
      <c r="B32" s="106"/>
      <c r="C32" s="106"/>
      <c r="D32" s="106"/>
      <c r="E32" s="147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</row>
    <row r="33" spans="1:33" ht="21" x14ac:dyDescent="0.4">
      <c r="A33" s="106"/>
      <c r="B33" s="106"/>
      <c r="C33" s="106"/>
      <c r="D33" s="106"/>
      <c r="E33" s="147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</row>
    <row r="34" spans="1:33" ht="21" x14ac:dyDescent="0.4">
      <c r="A34" s="106"/>
      <c r="B34" s="106"/>
      <c r="C34" s="106"/>
      <c r="D34" s="106"/>
      <c r="E34" s="14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</row>
    <row r="35" spans="1:33" ht="21" x14ac:dyDescent="0.4">
      <c r="A35" s="106"/>
      <c r="B35" s="106"/>
      <c r="C35" s="106"/>
      <c r="D35" s="106"/>
      <c r="E35" s="147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</row>
    <row r="36" spans="1:33" ht="21" x14ac:dyDescent="0.4">
      <c r="A36" s="106"/>
      <c r="B36" s="106"/>
      <c r="C36" s="106"/>
      <c r="D36" s="106"/>
      <c r="E36" s="147"/>
      <c r="F36" s="148"/>
      <c r="G36" s="148"/>
      <c r="H36" s="148"/>
      <c r="I36" s="148"/>
      <c r="J36" s="148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</row>
    <row r="37" spans="1:33" ht="21" x14ac:dyDescent="0.4">
      <c r="A37" s="106"/>
      <c r="B37" s="106"/>
      <c r="C37" s="106"/>
      <c r="D37" s="106"/>
      <c r="E37" s="147"/>
      <c r="F37" s="148"/>
      <c r="G37" s="148"/>
      <c r="H37" s="148"/>
      <c r="I37" s="148"/>
      <c r="J37" s="148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</row>
    <row r="38" spans="1:33" ht="21" x14ac:dyDescent="0.4">
      <c r="A38" s="106"/>
      <c r="B38" s="106"/>
      <c r="C38" s="106"/>
      <c r="D38" s="106"/>
      <c r="E38" s="147"/>
      <c r="F38" s="106"/>
      <c r="G38" s="148"/>
      <c r="H38" s="106"/>
      <c r="I38" s="106"/>
      <c r="J38" s="148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</row>
    <row r="39" spans="1:33" ht="21" x14ac:dyDescent="0.4">
      <c r="A39" s="106"/>
      <c r="B39" s="106"/>
      <c r="C39" s="106"/>
      <c r="D39" s="106"/>
      <c r="E39" s="147"/>
      <c r="F39" s="106"/>
      <c r="G39" s="148"/>
      <c r="H39" s="106"/>
      <c r="I39" s="106"/>
      <c r="J39" s="148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</row>
    <row r="40" spans="1:33" ht="21" x14ac:dyDescent="0.4">
      <c r="A40" s="106"/>
      <c r="B40" s="106"/>
      <c r="C40" s="106"/>
      <c r="D40" s="106"/>
      <c r="E40" s="147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</row>
    <row r="41" spans="1:33" ht="21" x14ac:dyDescent="0.4">
      <c r="A41" s="106"/>
      <c r="B41" s="106"/>
      <c r="C41" s="106"/>
      <c r="D41" s="106"/>
      <c r="E41" s="147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</row>
    <row r="42" spans="1:33" ht="21" x14ac:dyDescent="0.4">
      <c r="A42" s="106"/>
      <c r="B42" s="106"/>
      <c r="C42" s="106"/>
      <c r="D42" s="106"/>
      <c r="E42" s="147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</row>
    <row r="43" spans="1:33" ht="21" x14ac:dyDescent="0.4">
      <c r="A43" s="106"/>
      <c r="B43" s="106"/>
      <c r="C43" s="106"/>
      <c r="D43" s="106"/>
      <c r="E43" s="147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</row>
    <row r="44" spans="1:33" ht="21" x14ac:dyDescent="0.4">
      <c r="A44" s="106"/>
      <c r="B44" s="106"/>
      <c r="C44" s="106"/>
      <c r="D44" s="106"/>
      <c r="E44" s="147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</row>
    <row r="45" spans="1:33" ht="21" x14ac:dyDescent="0.4">
      <c r="A45" s="106"/>
      <c r="B45" s="106"/>
      <c r="C45" s="106"/>
      <c r="D45" s="106"/>
      <c r="E45" s="147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</row>
  </sheetData>
  <mergeCells count="6">
    <mergeCell ref="A19:A31"/>
    <mergeCell ref="A6:A18"/>
    <mergeCell ref="U4:U5"/>
    <mergeCell ref="D1:D2"/>
    <mergeCell ref="B3:B5"/>
    <mergeCell ref="A3:A5"/>
  </mergeCells>
  <pageMargins left="0.25" right="0.25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3</xdr:col>
                    <xdr:colOff>1287780</xdr:colOff>
                    <xdr:row>0</xdr:row>
                    <xdr:rowOff>144780</xdr:rowOff>
                  </from>
                  <to>
                    <xdr:col>4</xdr:col>
                    <xdr:colOff>1066800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28"/>
  <sheetViews>
    <sheetView view="pageBreakPreview" zoomScale="85" zoomScaleNormal="80" zoomScaleSheetLayoutView="85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A32" sqref="A1:XFD32"/>
    </sheetView>
  </sheetViews>
  <sheetFormatPr defaultColWidth="9.109375" defaultRowHeight="14.4" x14ac:dyDescent="0.3"/>
  <cols>
    <col min="1" max="1" width="7.109375" style="1" customWidth="1"/>
    <col min="2" max="2" width="23.5546875" style="1" customWidth="1"/>
    <col min="3" max="3" width="16.109375" style="1" customWidth="1"/>
    <col min="4" max="4" width="21.33203125" style="2" customWidth="1"/>
    <col min="5" max="5" width="18.109375" style="2" customWidth="1"/>
    <col min="6" max="6" width="14.88671875" style="2" customWidth="1"/>
    <col min="7" max="7" width="15.33203125" style="1" customWidth="1"/>
    <col min="8" max="8" width="14" style="1" customWidth="1"/>
    <col min="9" max="9" width="15.44140625" style="1" customWidth="1"/>
    <col min="10" max="10" width="15.33203125" style="1" bestFit="1" customWidth="1"/>
    <col min="11" max="11" width="13.6640625" style="1" customWidth="1"/>
    <col min="12" max="12" width="20.33203125" style="1" customWidth="1"/>
    <col min="13" max="13" width="14.33203125" style="1" customWidth="1"/>
    <col min="14" max="14" width="12.44140625" style="1" bestFit="1" customWidth="1"/>
    <col min="15" max="16384" width="9.109375" style="1"/>
  </cols>
  <sheetData>
    <row r="1" spans="1:12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2" s="3" customFormat="1" ht="17.25" customHeight="1" x14ac:dyDescent="0.3">
      <c r="A2" s="73" t="s">
        <v>876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2" s="2" customFormat="1" ht="82.5" customHeight="1" x14ac:dyDescent="0.3">
      <c r="A3" s="75" t="str">
        <f>IF([2]L!$A$1=1,[2]L!G8,IF([2]L!$A$1=2,[2]L!G18,[2]L!G28))</f>
        <v>Viti</v>
      </c>
      <c r="B3" s="75" t="str">
        <f>IF([2]L!$A$1=1,[2]L!H8,IF([2]L!$A$1=2,[2]L!H18,[2]L!H28))</f>
        <v>Viti / Muaji</v>
      </c>
      <c r="C3" s="76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77" t="s">
        <v>870</v>
      </c>
      <c r="F3" s="78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2" s="3" customFormat="1" x14ac:dyDescent="0.3">
      <c r="A4" s="164">
        <v>2024</v>
      </c>
      <c r="B4" s="5" t="s">
        <v>879</v>
      </c>
      <c r="C4" s="85">
        <f t="shared" ref="C4" si="0">D4+E4+F4+G4+H4+I4+J4+K4+L4</f>
        <v>607961.59</v>
      </c>
      <c r="D4" s="92">
        <v>201399.53</v>
      </c>
      <c r="E4" s="93">
        <v>193426.4</v>
      </c>
      <c r="F4" s="95"/>
      <c r="G4" s="94">
        <f>8036+1271+84+10+81</f>
        <v>9482</v>
      </c>
      <c r="H4" s="94">
        <f>67135+10795</f>
        <v>77930</v>
      </c>
      <c r="I4" s="89">
        <v>25690</v>
      </c>
      <c r="J4" s="96">
        <v>11881.5</v>
      </c>
      <c r="K4" s="80">
        <f>10443.6+7990.5+8</f>
        <v>18442.099999999999</v>
      </c>
      <c r="L4" s="83">
        <f>450+800+85+25553.95+639+1839.89+34170+114+1515.27+630+398.75+2017.2+1497</f>
        <v>69710.059999999983</v>
      </c>
    </row>
    <row r="5" spans="1:12" s="3" customFormat="1" x14ac:dyDescent="0.3">
      <c r="A5" s="164"/>
      <c r="B5" s="5" t="s">
        <v>880</v>
      </c>
      <c r="C5" s="85">
        <f>D5+E5+G5+H5+I5+J5+K5+L5</f>
        <v>449623.7</v>
      </c>
      <c r="D5" s="87">
        <v>130632.02</v>
      </c>
      <c r="E5" s="88">
        <v>142124.79999999999</v>
      </c>
      <c r="F5" s="95"/>
      <c r="G5" s="89">
        <f>5832+1025+62+65</f>
        <v>6984</v>
      </c>
      <c r="H5" s="89">
        <f>58340+16205</f>
        <v>74545</v>
      </c>
      <c r="I5" s="89">
        <v>24965</v>
      </c>
      <c r="J5" s="90">
        <v>13493.5</v>
      </c>
      <c r="K5" s="80">
        <f>19862.5+1150+26</f>
        <v>21038.5</v>
      </c>
      <c r="L5" s="83">
        <f>150+650+205+10358.29+589+600.95+19774+152+1555.09+1250+8.55+548</f>
        <v>35840.880000000005</v>
      </c>
    </row>
    <row r="6" spans="1:12" s="3" customFormat="1" x14ac:dyDescent="0.3">
      <c r="A6" s="164"/>
      <c r="B6" s="5" t="s">
        <v>881</v>
      </c>
      <c r="C6" s="85">
        <f t="shared" ref="C6:C14" si="1">D6+E6+F6+G6+H6+I6+J6+K6+L6</f>
        <v>490686.26</v>
      </c>
      <c r="D6" s="87">
        <v>153340.85999999999</v>
      </c>
      <c r="E6" s="88">
        <v>124439.78</v>
      </c>
      <c r="F6" s="95"/>
      <c r="G6" s="89">
        <f>4951+650+93+11+88</f>
        <v>5793</v>
      </c>
      <c r="H6" s="89">
        <f>55666+9685</f>
        <v>65351</v>
      </c>
      <c r="I6" s="89">
        <v>28090</v>
      </c>
      <c r="J6" s="90">
        <v>10428</v>
      </c>
      <c r="K6" s="91">
        <f>19209.9+295+17</f>
        <v>19521.900000000001</v>
      </c>
      <c r="L6" s="83">
        <f>201+3500+375+22632.97+560+729.7+30938+179+779.45+18144+4150+1532.6</f>
        <v>83721.72</v>
      </c>
    </row>
    <row r="7" spans="1:12" s="3" customFormat="1" x14ac:dyDescent="0.3">
      <c r="A7" s="164"/>
      <c r="B7" s="5" t="s">
        <v>882</v>
      </c>
      <c r="C7" s="85">
        <f t="shared" si="1"/>
        <v>783924.6399999999</v>
      </c>
      <c r="D7" s="87">
        <v>315713.5</v>
      </c>
      <c r="E7" s="88">
        <v>214564.97</v>
      </c>
      <c r="F7" s="95"/>
      <c r="G7" s="89">
        <f>6745+858+109+89</f>
        <v>7801</v>
      </c>
      <c r="H7" s="89">
        <f>126960+9300</f>
        <v>136260</v>
      </c>
      <c r="I7" s="89">
        <v>29335</v>
      </c>
      <c r="J7" s="90">
        <v>10817.5</v>
      </c>
      <c r="K7" s="91">
        <f>15875.6+236+16</f>
        <v>16127.6</v>
      </c>
      <c r="L7" s="83">
        <f>270+180+3994.65+711+617.46+28548+287+5043.96+12055+1000+250+348</f>
        <v>53305.07</v>
      </c>
    </row>
    <row r="8" spans="1:12" s="3" customFormat="1" x14ac:dyDescent="0.3">
      <c r="A8" s="164"/>
      <c r="B8" s="5" t="s">
        <v>883</v>
      </c>
      <c r="C8" s="85">
        <f t="shared" si="1"/>
        <v>586701.96</v>
      </c>
      <c r="D8" s="87">
        <v>183468.15</v>
      </c>
      <c r="E8" s="88">
        <v>136361.15</v>
      </c>
      <c r="F8" s="95"/>
      <c r="G8" s="89">
        <f>7073+763+68+83</f>
        <v>7987</v>
      </c>
      <c r="H8" s="97">
        <f>118475+12800</f>
        <v>131275</v>
      </c>
      <c r="I8" s="89">
        <v>31270</v>
      </c>
      <c r="J8" s="90">
        <v>10830.5</v>
      </c>
      <c r="K8" s="80">
        <f>25194.2+231+10</f>
        <v>25435.200000000001</v>
      </c>
      <c r="L8" s="83">
        <f>320+500+165+4147.15+1153+2972.35+35753.25+111+4542.71+7231+1450+1729.5</f>
        <v>60074.96</v>
      </c>
    </row>
    <row r="9" spans="1:12" s="3" customFormat="1" x14ac:dyDescent="0.3">
      <c r="A9" s="164"/>
      <c r="B9" s="5" t="s">
        <v>884</v>
      </c>
      <c r="C9" s="85">
        <f t="shared" si="1"/>
        <v>450836.84</v>
      </c>
      <c r="D9" s="87">
        <v>82672.710000000006</v>
      </c>
      <c r="E9" s="88">
        <v>100072.69</v>
      </c>
      <c r="F9" s="100"/>
      <c r="G9" s="89">
        <f>5991+706+261+23+51</f>
        <v>7032</v>
      </c>
      <c r="H9" s="89">
        <f>94321+9335</f>
        <v>103656</v>
      </c>
      <c r="I9" s="89">
        <v>31745</v>
      </c>
      <c r="J9" s="90">
        <v>9167</v>
      </c>
      <c r="K9" s="80">
        <f>19332.5+125+6</f>
        <v>19463.5</v>
      </c>
      <c r="L9" s="83">
        <f>332+1500+140+2734.65+725+595.8+27847+33+16373.49+46048+250+449</f>
        <v>97027.94</v>
      </c>
    </row>
    <row r="10" spans="1:12" s="3" customFormat="1" x14ac:dyDescent="0.3">
      <c r="A10" s="164"/>
      <c r="B10" s="5" t="s">
        <v>885</v>
      </c>
      <c r="C10" s="85">
        <f t="shared" si="1"/>
        <v>657362.71000000008</v>
      </c>
      <c r="D10" s="87">
        <v>116891.37</v>
      </c>
      <c r="E10" s="88">
        <v>216421.95</v>
      </c>
      <c r="F10" s="95"/>
      <c r="G10" s="89">
        <f>8338+765+194+144+255</f>
        <v>9696</v>
      </c>
      <c r="H10" s="89">
        <f>163205+9070</f>
        <v>172275</v>
      </c>
      <c r="I10" s="89">
        <v>41380</v>
      </c>
      <c r="J10" s="90">
        <v>11232</v>
      </c>
      <c r="K10" s="80">
        <f>8110+67+3</f>
        <v>8180</v>
      </c>
      <c r="L10" s="83">
        <f>660+4000+150+275+8180.67+1200+1055+41970+339+21131.42+300+1791.3+135+99</f>
        <v>81286.39</v>
      </c>
    </row>
    <row r="11" spans="1:12" s="3" customFormat="1" x14ac:dyDescent="0.3">
      <c r="A11" s="164"/>
      <c r="B11" s="5" t="s">
        <v>886</v>
      </c>
      <c r="C11" s="85">
        <f t="shared" si="1"/>
        <v>712002.31</v>
      </c>
      <c r="D11" s="87">
        <v>227321.87</v>
      </c>
      <c r="E11" s="88">
        <v>158940.93</v>
      </c>
      <c r="F11" s="95"/>
      <c r="G11" s="89">
        <f>9383+1045+411+301+157</f>
        <v>11297</v>
      </c>
      <c r="H11" s="89">
        <f>170471+10710</f>
        <v>181181</v>
      </c>
      <c r="I11" s="89">
        <v>34785</v>
      </c>
      <c r="J11" s="90">
        <v>14154.5</v>
      </c>
      <c r="K11" s="80">
        <f>1920+85+4</f>
        <v>2009</v>
      </c>
      <c r="L11" s="83">
        <f>220+1650+245+11052+391+171.3+43475+145+2616.71+21258+575+165+349</f>
        <v>82313.010000000009</v>
      </c>
    </row>
    <row r="12" spans="1:12" s="3" customFormat="1" x14ac:dyDescent="0.3">
      <c r="A12" s="164"/>
      <c r="B12" s="5" t="s">
        <v>887</v>
      </c>
      <c r="C12" s="85">
        <f t="shared" si="1"/>
        <v>798218.92</v>
      </c>
      <c r="D12" s="87">
        <v>223123.96</v>
      </c>
      <c r="E12" s="88">
        <v>236536.06</v>
      </c>
      <c r="F12" s="95"/>
      <c r="G12" s="89">
        <f>6140+774+215+62+122</f>
        <v>7313</v>
      </c>
      <c r="H12" s="89">
        <f>123471+11470</f>
        <v>134941</v>
      </c>
      <c r="I12" s="89">
        <v>30960</v>
      </c>
      <c r="J12" s="90">
        <v>10039.5</v>
      </c>
      <c r="K12" s="91">
        <f>18408+95+50</f>
        <v>18553</v>
      </c>
      <c r="L12" s="83">
        <f>554+6678+1125+165+13155.13+560+79.27+23566+33+89603+1100+35+99</f>
        <v>136752.4</v>
      </c>
    </row>
    <row r="13" spans="1:12" s="3" customFormat="1" x14ac:dyDescent="0.3">
      <c r="A13" s="164"/>
      <c r="B13" s="5" t="s">
        <v>888</v>
      </c>
      <c r="C13" s="85">
        <f t="shared" si="1"/>
        <v>678779.84</v>
      </c>
      <c r="D13" s="87">
        <v>151136.6</v>
      </c>
      <c r="E13" s="88">
        <v>253104.71</v>
      </c>
      <c r="F13" s="95"/>
      <c r="G13" s="98">
        <f>5567+740+207+151+91</f>
        <v>6756</v>
      </c>
      <c r="H13" s="89">
        <f>140292+13725</f>
        <v>154017</v>
      </c>
      <c r="I13" s="89">
        <v>34640</v>
      </c>
      <c r="J13" s="90">
        <v>11368</v>
      </c>
      <c r="K13" s="80">
        <f>20121.2+105+1</f>
        <v>20227.2</v>
      </c>
      <c r="L13" s="95">
        <f>150+1600+270+4299.47+520+530.66+28787+54+1978.7+7850.5+1250+240</f>
        <v>47530.329999999994</v>
      </c>
    </row>
    <row r="14" spans="1:12" s="3" customFormat="1" x14ac:dyDescent="0.3">
      <c r="A14" s="164"/>
      <c r="B14" s="5" t="s">
        <v>889</v>
      </c>
      <c r="C14" s="85">
        <f t="shared" si="1"/>
        <v>512909.44</v>
      </c>
      <c r="D14" s="99">
        <v>95574.97</v>
      </c>
      <c r="E14" s="86">
        <v>177651.33</v>
      </c>
      <c r="F14" s="99"/>
      <c r="G14" s="99">
        <f>4820+519+462+133+81</f>
        <v>6015</v>
      </c>
      <c r="H14" s="84">
        <f>116001+9155</f>
        <v>125156</v>
      </c>
      <c r="I14" s="84">
        <v>29275</v>
      </c>
      <c r="J14" s="84">
        <v>8900.5</v>
      </c>
      <c r="K14" s="84">
        <f>19285.2+106</f>
        <v>19391.2</v>
      </c>
      <c r="L14" s="99">
        <f>640+150+330+2307.49+792+403.25+23505+14+1466.7+20638+350+349</f>
        <v>50945.440000000002</v>
      </c>
    </row>
    <row r="15" spans="1:12" s="3" customFormat="1" x14ac:dyDescent="0.3">
      <c r="A15" s="164"/>
      <c r="B15" s="5" t="s">
        <v>890</v>
      </c>
      <c r="C15" s="85">
        <f t="shared" ref="C15" si="2">SUM(D15:L15)</f>
        <v>937100.91</v>
      </c>
      <c r="D15" s="99">
        <v>260938.58</v>
      </c>
      <c r="E15" s="99">
        <v>435890.91</v>
      </c>
      <c r="F15" s="99"/>
      <c r="G15" s="99">
        <f>8274+773+139+219+88</f>
        <v>9493</v>
      </c>
      <c r="H15" s="84">
        <f>110455+7430</f>
        <v>117885</v>
      </c>
      <c r="I15" s="84">
        <v>30185</v>
      </c>
      <c r="J15" s="84">
        <v>12899.5</v>
      </c>
      <c r="K15" s="84">
        <f>20377.3+92+3</f>
        <v>20472.3</v>
      </c>
      <c r="L15" s="99">
        <f>550+1300+245+6051.65+448+1222.54+24539+34+2007.13+11875+916.3+25+123</f>
        <v>49336.62</v>
      </c>
    </row>
    <row r="16" spans="1:12" s="3" customFormat="1" x14ac:dyDescent="0.3">
      <c r="A16" s="164"/>
      <c r="B16" s="6" t="s">
        <v>891</v>
      </c>
      <c r="C16" s="82">
        <f>SUM(C4:C15)</f>
        <v>7666109.1200000001</v>
      </c>
      <c r="D16" s="82">
        <f t="shared" ref="D16:L16" si="3">SUM(D4:D15)</f>
        <v>2142214.12</v>
      </c>
      <c r="E16" s="82">
        <f t="shared" si="3"/>
        <v>2389535.6800000002</v>
      </c>
      <c r="F16" s="79">
        <f t="shared" si="3"/>
        <v>0</v>
      </c>
      <c r="G16" s="82">
        <f t="shared" si="3"/>
        <v>95649</v>
      </c>
      <c r="H16" s="82">
        <f t="shared" si="3"/>
        <v>1474472</v>
      </c>
      <c r="I16" s="82">
        <f t="shared" si="3"/>
        <v>372320</v>
      </c>
      <c r="J16" s="82">
        <f t="shared" si="3"/>
        <v>135212</v>
      </c>
      <c r="K16" s="82">
        <f t="shared" si="3"/>
        <v>208861.5</v>
      </c>
      <c r="L16" s="81">
        <f t="shared" si="3"/>
        <v>847844.82</v>
      </c>
    </row>
    <row r="17" spans="1:12" s="3" customFormat="1" x14ac:dyDescent="0.3">
      <c r="A17" s="164">
        <v>2025</v>
      </c>
      <c r="B17" s="5" t="s">
        <v>795</v>
      </c>
      <c r="C17" s="85">
        <f t="shared" ref="C17" si="4">D17+E17+F17+G17+H17+I17+J17+K17+L17</f>
        <v>1152096.77</v>
      </c>
      <c r="D17" s="92">
        <v>84018.04</v>
      </c>
      <c r="E17" s="93">
        <v>840407.8</v>
      </c>
      <c r="F17" s="95"/>
      <c r="G17" s="94">
        <f>5072+791+138+52+51</f>
        <v>6104</v>
      </c>
      <c r="H17" s="94">
        <f>8920+110506</f>
        <v>119426</v>
      </c>
      <c r="I17" s="89">
        <v>29005</v>
      </c>
      <c r="J17" s="96">
        <v>10021</v>
      </c>
      <c r="K17" s="80">
        <f>10906.4+51+5</f>
        <v>10962.4</v>
      </c>
      <c r="L17" s="83">
        <f>720+100+180+9624.28+185+448.23+22922+22+2485.52+14500+375+449+141.5</f>
        <v>52152.53</v>
      </c>
    </row>
    <row r="18" spans="1:12" s="3" customFormat="1" x14ac:dyDescent="0.3">
      <c r="A18" s="164"/>
      <c r="B18" s="5" t="s">
        <v>798</v>
      </c>
      <c r="C18" s="85">
        <f>D18+E18+G18+H18+I18+J18+K18+L18</f>
        <v>2737010.6900000004</v>
      </c>
      <c r="D18" s="87">
        <v>204953.79</v>
      </c>
      <c r="E18" s="88">
        <v>2148865.83</v>
      </c>
      <c r="F18" s="95"/>
      <c r="G18" s="89">
        <f>4509+820+129+90+44</f>
        <v>5592</v>
      </c>
      <c r="H18" s="89">
        <f>112150+8080</f>
        <v>120230</v>
      </c>
      <c r="I18" s="89">
        <v>26585</v>
      </c>
      <c r="J18" s="90">
        <v>10560</v>
      </c>
      <c r="K18" s="80">
        <f>19344.2+47</f>
        <v>19391.2</v>
      </c>
      <c r="L18" s="83">
        <f>550+617.2+125+3510.5+310+337.27+16848+59+1091.49+176685.41+699</f>
        <v>200832.87</v>
      </c>
    </row>
    <row r="19" spans="1:12" s="3" customFormat="1" x14ac:dyDescent="0.3">
      <c r="A19" s="164"/>
      <c r="B19" s="5" t="s">
        <v>892</v>
      </c>
      <c r="C19" s="85">
        <f t="shared" ref="C19:C25" si="5">D19+E19+F19+G19+H19+I19+J19+K19+L19</f>
        <v>839620.45</v>
      </c>
      <c r="D19" s="87">
        <v>188318.22</v>
      </c>
      <c r="E19" s="88">
        <v>428468.66</v>
      </c>
      <c r="F19" s="95"/>
      <c r="G19" s="89">
        <f>3974+481+55+104</f>
        <v>4614</v>
      </c>
      <c r="H19" s="89">
        <f>112505+10950</f>
        <v>123455</v>
      </c>
      <c r="I19" s="89">
        <v>29970</v>
      </c>
      <c r="J19" s="90">
        <v>9541</v>
      </c>
      <c r="K19" s="91">
        <f>18011.5+139+1</f>
        <v>18151.5</v>
      </c>
      <c r="L19" s="83">
        <f>300+1000+215+3306.15+601+187.36+17240+14+5366.15+3838+750+40+499+2028.41+1717</f>
        <v>37102.07</v>
      </c>
    </row>
    <row r="20" spans="1:12" s="3" customFormat="1" x14ac:dyDescent="0.3">
      <c r="A20" s="164"/>
      <c r="B20" s="5" t="s">
        <v>804</v>
      </c>
      <c r="C20" s="85">
        <f t="shared" si="5"/>
        <v>831943.49999999988</v>
      </c>
      <c r="D20" s="87">
        <v>513546.66</v>
      </c>
      <c r="E20" s="88">
        <v>83645.16</v>
      </c>
      <c r="F20" s="95"/>
      <c r="G20" s="89">
        <f>5532+680+74+60</f>
        <v>6346</v>
      </c>
      <c r="H20" s="89">
        <v>136003.48000000001</v>
      </c>
      <c r="I20" s="89">
        <v>34145</v>
      </c>
      <c r="J20" s="90">
        <v>10207.5</v>
      </c>
      <c r="K20" s="91">
        <f>10995+510</f>
        <v>11505</v>
      </c>
      <c r="L20" s="83">
        <f>320+875+310+5360.3+781+61.3+8823.94+1124+400+30+15733+828+1898.16</f>
        <v>36544.700000000004</v>
      </c>
    </row>
    <row r="21" spans="1:12" s="3" customFormat="1" x14ac:dyDescent="0.3">
      <c r="A21" s="164"/>
      <c r="B21" s="5" t="s">
        <v>806</v>
      </c>
      <c r="C21" s="85">
        <f t="shared" si="5"/>
        <v>645025.38</v>
      </c>
      <c r="D21" s="87">
        <v>280332.61</v>
      </c>
      <c r="E21" s="88">
        <v>144691.49</v>
      </c>
      <c r="F21" s="95"/>
      <c r="G21" s="89">
        <v>7829</v>
      </c>
      <c r="H21" s="97">
        <v>125890</v>
      </c>
      <c r="I21" s="89">
        <v>33475</v>
      </c>
      <c r="J21" s="90">
        <v>10187</v>
      </c>
      <c r="K21" s="80">
        <v>206</v>
      </c>
      <c r="L21" s="101">
        <v>42414.28</v>
      </c>
    </row>
    <row r="22" spans="1:12" s="3" customFormat="1" x14ac:dyDescent="0.3">
      <c r="A22" s="164"/>
      <c r="B22" s="5" t="s">
        <v>808</v>
      </c>
      <c r="C22" s="85">
        <f t="shared" si="5"/>
        <v>549950.89</v>
      </c>
      <c r="D22" s="87">
        <v>143852.5</v>
      </c>
      <c r="E22" s="88">
        <v>107758.81</v>
      </c>
      <c r="F22" s="100"/>
      <c r="G22" s="89">
        <v>6660</v>
      </c>
      <c r="H22" s="89">
        <v>190745</v>
      </c>
      <c r="I22" s="89">
        <v>52212.33</v>
      </c>
      <c r="J22" s="90">
        <v>9061.5</v>
      </c>
      <c r="K22" s="80">
        <v>12067</v>
      </c>
      <c r="L22" s="83">
        <v>27593.75</v>
      </c>
    </row>
    <row r="23" spans="1:12" s="3" customFormat="1" x14ac:dyDescent="0.3">
      <c r="A23" s="164"/>
      <c r="B23" s="5" t="s">
        <v>811</v>
      </c>
      <c r="C23" s="85">
        <f t="shared" si="5"/>
        <v>392408.92</v>
      </c>
      <c r="D23" s="87">
        <v>159949.82999999999</v>
      </c>
      <c r="E23" s="88">
        <v>94792.54</v>
      </c>
      <c r="F23" s="95"/>
      <c r="G23" s="102">
        <v>8839</v>
      </c>
      <c r="H23" s="152">
        <v>16675</v>
      </c>
      <c r="I23" s="89">
        <v>48110</v>
      </c>
      <c r="J23" s="90">
        <v>11303.5</v>
      </c>
      <c r="K23" s="80">
        <v>4598</v>
      </c>
      <c r="L23" s="101">
        <v>48141.05</v>
      </c>
    </row>
    <row r="24" spans="1:12" s="3" customFormat="1" x14ac:dyDescent="0.3">
      <c r="A24" s="164"/>
      <c r="B24" s="5" t="s">
        <v>814</v>
      </c>
      <c r="C24" s="85">
        <f t="shared" si="5"/>
        <v>609947.47000000009</v>
      </c>
      <c r="D24" s="87">
        <v>223146.07</v>
      </c>
      <c r="E24" s="88">
        <v>256400.22</v>
      </c>
      <c r="F24" s="95"/>
      <c r="G24" s="89">
        <v>10190</v>
      </c>
      <c r="H24" s="152">
        <v>8595</v>
      </c>
      <c r="I24" s="89">
        <v>37650</v>
      </c>
      <c r="J24" s="90">
        <v>10028</v>
      </c>
      <c r="K24" s="80">
        <v>3700</v>
      </c>
      <c r="L24" s="103">
        <v>60238.18</v>
      </c>
    </row>
    <row r="25" spans="1:12" s="3" customFormat="1" x14ac:dyDescent="0.3">
      <c r="A25" s="164"/>
      <c r="B25" s="5" t="s">
        <v>817</v>
      </c>
      <c r="C25" s="85">
        <f t="shared" si="5"/>
        <v>430634.15</v>
      </c>
      <c r="D25" s="87">
        <v>174957.19</v>
      </c>
      <c r="E25" s="88">
        <v>136665.85999999999</v>
      </c>
      <c r="F25" s="95"/>
      <c r="G25" s="89">
        <v>7728</v>
      </c>
      <c r="H25" s="152">
        <v>13565</v>
      </c>
      <c r="I25" s="89">
        <v>35655</v>
      </c>
      <c r="J25" s="90">
        <v>11658</v>
      </c>
      <c r="K25" s="91">
        <v>16242.4</v>
      </c>
      <c r="L25" s="103">
        <v>34162.699999999997</v>
      </c>
    </row>
    <row r="26" spans="1:12" s="3" customFormat="1" x14ac:dyDescent="0.3">
      <c r="A26" s="164"/>
      <c r="B26" s="5" t="s">
        <v>820</v>
      </c>
      <c r="C26" s="85">
        <f>D26+E26+F26+G26+H26+I26+J26+K26+L26</f>
        <v>510407.08</v>
      </c>
      <c r="D26" s="87">
        <v>127205.63</v>
      </c>
      <c r="E26" s="88">
        <v>269312.09000000003</v>
      </c>
      <c r="F26" s="95"/>
      <c r="G26" s="98">
        <v>6423</v>
      </c>
      <c r="H26" s="89">
        <v>7605</v>
      </c>
      <c r="I26" s="89">
        <v>37070</v>
      </c>
      <c r="J26" s="90">
        <v>11555.5</v>
      </c>
      <c r="K26" s="80">
        <v>14751.6</v>
      </c>
      <c r="L26" s="103">
        <v>36484.26</v>
      </c>
    </row>
    <row r="27" spans="1:12" s="3" customFormat="1" x14ac:dyDescent="0.3">
      <c r="A27" s="164"/>
      <c r="B27" s="5" t="s">
        <v>893</v>
      </c>
      <c r="C27" s="85">
        <f>D27+E27+F27+G27+H27+I27+J27+K27+L27</f>
        <v>449273.76</v>
      </c>
      <c r="D27" s="99">
        <v>64127.24</v>
      </c>
      <c r="E27" s="86">
        <v>276445.96000000002</v>
      </c>
      <c r="F27" s="99"/>
      <c r="G27" s="99">
        <v>4060</v>
      </c>
      <c r="H27" s="84">
        <v>10885</v>
      </c>
      <c r="I27" s="84">
        <v>31775</v>
      </c>
      <c r="J27" s="84">
        <v>9534</v>
      </c>
      <c r="K27" s="84">
        <v>14015</v>
      </c>
      <c r="L27" s="99">
        <v>38431.56</v>
      </c>
    </row>
    <row r="28" spans="1:12" s="3" customFormat="1" x14ac:dyDescent="0.3">
      <c r="A28" s="164"/>
      <c r="B28" s="5" t="s">
        <v>826</v>
      </c>
      <c r="C28" s="85">
        <f t="shared" ref="C28" si="6">SUM(D28:L28)</f>
        <v>371997.9</v>
      </c>
      <c r="D28" s="99">
        <v>207324.44</v>
      </c>
      <c r="E28" s="99">
        <v>55674.47</v>
      </c>
      <c r="F28" s="99"/>
      <c r="G28" s="99">
        <v>5991</v>
      </c>
      <c r="H28" s="84">
        <v>9075</v>
      </c>
      <c r="I28" s="84">
        <v>20067.669999999998</v>
      </c>
      <c r="J28" s="84">
        <v>19273.5</v>
      </c>
      <c r="K28" s="84">
        <v>15464.2</v>
      </c>
      <c r="L28" s="99">
        <v>39127.620000000003</v>
      </c>
    </row>
    <row r="29" spans="1:12" s="3" customFormat="1" x14ac:dyDescent="0.3">
      <c r="A29" s="164"/>
      <c r="B29" s="6" t="s">
        <v>794</v>
      </c>
      <c r="C29" s="82">
        <f>SUM(C17:C28)</f>
        <v>9520316.959999999</v>
      </c>
      <c r="D29" s="82">
        <f t="shared" ref="D29:K29" si="7">SUM(D17:D28)</f>
        <v>2371732.2200000002</v>
      </c>
      <c r="E29" s="82">
        <f t="shared" si="7"/>
        <v>4843128.8900000006</v>
      </c>
      <c r="F29" s="79">
        <f t="shared" si="7"/>
        <v>0</v>
      </c>
      <c r="G29" s="82">
        <f t="shared" si="7"/>
        <v>80376</v>
      </c>
      <c r="H29" s="82">
        <f t="shared" si="7"/>
        <v>882149.48</v>
      </c>
      <c r="I29" s="82">
        <f t="shared" si="7"/>
        <v>415720</v>
      </c>
      <c r="J29" s="82">
        <f t="shared" si="7"/>
        <v>132930.5</v>
      </c>
      <c r="K29" s="82">
        <f t="shared" si="7"/>
        <v>141054.30000000002</v>
      </c>
      <c r="L29" s="81">
        <f>SUM(L17:L28)</f>
        <v>653225.56999999995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  <row r="33" spans="4:6" s="3" customFormat="1" x14ac:dyDescent="0.3">
      <c r="D33" s="4"/>
      <c r="E33" s="4"/>
      <c r="F33" s="4"/>
    </row>
    <row r="34" spans="4:6" s="3" customFormat="1" x14ac:dyDescent="0.3">
      <c r="D34" s="4"/>
      <c r="E34" s="4"/>
      <c r="F34" s="4"/>
    </row>
    <row r="35" spans="4:6" s="3" customFormat="1" x14ac:dyDescent="0.3">
      <c r="D35" s="4"/>
      <c r="E35" s="4"/>
      <c r="F35" s="4"/>
    </row>
    <row r="36" spans="4:6" s="3" customFormat="1" x14ac:dyDescent="0.3">
      <c r="D36" s="4"/>
      <c r="E36" s="4"/>
      <c r="F36" s="4"/>
    </row>
    <row r="37" spans="4:6" s="3" customFormat="1" x14ac:dyDescent="0.3">
      <c r="D37" s="4"/>
      <c r="E37" s="4"/>
      <c r="F37" s="4"/>
    </row>
    <row r="38" spans="4:6" s="3" customFormat="1" x14ac:dyDescent="0.3">
      <c r="D38" s="4"/>
      <c r="E38" s="4"/>
      <c r="F38" s="4"/>
    </row>
    <row r="39" spans="4:6" s="3" customFormat="1" x14ac:dyDescent="0.3">
      <c r="D39" s="4"/>
      <c r="E39" s="4"/>
      <c r="F39" s="4"/>
    </row>
    <row r="40" spans="4:6" s="3" customFormat="1" x14ac:dyDescent="0.3">
      <c r="D40" s="4"/>
      <c r="E40" s="4"/>
      <c r="F40" s="4"/>
    </row>
    <row r="41" spans="4:6" s="3" customFormat="1" x14ac:dyDescent="0.3">
      <c r="D41" s="4"/>
      <c r="E41" s="4"/>
      <c r="F41" s="4"/>
    </row>
    <row r="42" spans="4:6" s="3" customFormat="1" x14ac:dyDescent="0.3">
      <c r="D42" s="4"/>
      <c r="E42" s="4"/>
      <c r="F42" s="4"/>
    </row>
    <row r="43" spans="4:6" s="3" customFormat="1" x14ac:dyDescent="0.3">
      <c r="D43" s="4"/>
      <c r="E43" s="4"/>
      <c r="F43" s="4"/>
    </row>
    <row r="44" spans="4:6" s="3" customFormat="1" x14ac:dyDescent="0.3">
      <c r="D44" s="4"/>
      <c r="E44" s="4"/>
      <c r="F44" s="4"/>
    </row>
    <row r="45" spans="4:6" s="3" customFormat="1" x14ac:dyDescent="0.3">
      <c r="D45" s="4"/>
      <c r="E45" s="4"/>
      <c r="F45" s="4"/>
    </row>
    <row r="46" spans="4:6" s="3" customFormat="1" x14ac:dyDescent="0.3">
      <c r="D46" s="4"/>
      <c r="E46" s="4"/>
      <c r="F46" s="4"/>
    </row>
    <row r="47" spans="4:6" s="3" customFormat="1" x14ac:dyDescent="0.3">
      <c r="D47" s="4"/>
      <c r="E47" s="4"/>
      <c r="F47" s="4"/>
    </row>
    <row r="48" spans="4:6" s="3" customFormat="1" x14ac:dyDescent="0.3">
      <c r="D48" s="4"/>
      <c r="E48" s="4"/>
      <c r="F48" s="4"/>
    </row>
    <row r="49" spans="4:6" s="3" customFormat="1" x14ac:dyDescent="0.3">
      <c r="D49" s="4"/>
      <c r="E49" s="4"/>
      <c r="F49" s="4"/>
    </row>
    <row r="50" spans="4:6" s="3" customFormat="1" x14ac:dyDescent="0.3">
      <c r="D50" s="4"/>
      <c r="E50" s="4"/>
      <c r="F50" s="4"/>
    </row>
    <row r="51" spans="4:6" s="3" customFormat="1" x14ac:dyDescent="0.3">
      <c r="D51" s="4"/>
      <c r="E51" s="4"/>
      <c r="F51" s="4"/>
    </row>
    <row r="52" spans="4:6" s="3" customFormat="1" x14ac:dyDescent="0.3">
      <c r="D52" s="4"/>
      <c r="E52" s="4"/>
      <c r="F52" s="4"/>
    </row>
    <row r="53" spans="4:6" s="3" customFormat="1" x14ac:dyDescent="0.3">
      <c r="D53" s="4"/>
      <c r="E53" s="4"/>
      <c r="F53" s="4"/>
    </row>
    <row r="54" spans="4:6" s="3" customFormat="1" x14ac:dyDescent="0.3">
      <c r="D54" s="4"/>
      <c r="E54" s="4"/>
      <c r="F54" s="4"/>
    </row>
    <row r="55" spans="4:6" s="3" customFormat="1" x14ac:dyDescent="0.3">
      <c r="D55" s="4"/>
      <c r="E55" s="4"/>
      <c r="F55" s="4"/>
    </row>
    <row r="56" spans="4:6" s="3" customFormat="1" x14ac:dyDescent="0.3">
      <c r="D56" s="4"/>
      <c r="E56" s="4"/>
      <c r="F56" s="4"/>
    </row>
    <row r="57" spans="4:6" s="3" customFormat="1" x14ac:dyDescent="0.3">
      <c r="D57" s="4"/>
      <c r="E57" s="4"/>
      <c r="F57" s="4"/>
    </row>
    <row r="58" spans="4:6" s="3" customFormat="1" x14ac:dyDescent="0.3">
      <c r="D58" s="4"/>
      <c r="E58" s="4"/>
      <c r="F58" s="4"/>
    </row>
    <row r="59" spans="4:6" s="3" customFormat="1" x14ac:dyDescent="0.3">
      <c r="D59" s="4"/>
      <c r="E59" s="4"/>
      <c r="F59" s="4"/>
    </row>
    <row r="60" spans="4:6" s="3" customFormat="1" x14ac:dyDescent="0.3">
      <c r="D60" s="4"/>
      <c r="E60" s="4"/>
      <c r="F60" s="4"/>
    </row>
    <row r="61" spans="4:6" s="3" customFormat="1" x14ac:dyDescent="0.3">
      <c r="D61" s="4"/>
      <c r="E61" s="4"/>
      <c r="F61" s="4"/>
    </row>
    <row r="62" spans="4:6" s="3" customFormat="1" x14ac:dyDescent="0.3">
      <c r="D62" s="4"/>
      <c r="E62" s="4"/>
      <c r="F62" s="4"/>
    </row>
    <row r="63" spans="4:6" s="3" customFormat="1" x14ac:dyDescent="0.3">
      <c r="D63" s="4"/>
      <c r="E63" s="4"/>
      <c r="F63" s="4"/>
    </row>
    <row r="64" spans="4:6" s="3" customFormat="1" x14ac:dyDescent="0.3">
      <c r="D64" s="4"/>
      <c r="E64" s="4"/>
      <c r="F64" s="4"/>
    </row>
    <row r="65" spans="4:6" s="3" customFormat="1" x14ac:dyDescent="0.3">
      <c r="D65" s="4"/>
      <c r="E65" s="4"/>
      <c r="F65" s="4"/>
    </row>
    <row r="66" spans="4:6" s="3" customFormat="1" x14ac:dyDescent="0.3">
      <c r="D66" s="4"/>
      <c r="E66" s="4"/>
      <c r="F66" s="4"/>
    </row>
    <row r="67" spans="4:6" s="3" customFormat="1" x14ac:dyDescent="0.3">
      <c r="D67" s="4"/>
      <c r="E67" s="4"/>
      <c r="F67" s="4"/>
    </row>
    <row r="68" spans="4:6" s="3" customFormat="1" x14ac:dyDescent="0.3">
      <c r="D68" s="4"/>
      <c r="E68" s="4"/>
      <c r="F68" s="4"/>
    </row>
    <row r="69" spans="4:6" s="3" customFormat="1" x14ac:dyDescent="0.3">
      <c r="D69" s="4"/>
      <c r="E69" s="4"/>
      <c r="F69" s="4"/>
    </row>
    <row r="70" spans="4:6" s="3" customFormat="1" x14ac:dyDescent="0.3">
      <c r="D70" s="4"/>
      <c r="E70" s="4"/>
      <c r="F70" s="4"/>
    </row>
    <row r="71" spans="4:6" s="3" customFormat="1" x14ac:dyDescent="0.3">
      <c r="D71" s="4"/>
      <c r="E71" s="4"/>
      <c r="F71" s="4"/>
    </row>
    <row r="72" spans="4:6" s="3" customFormat="1" x14ac:dyDescent="0.3">
      <c r="D72" s="4"/>
      <c r="E72" s="4"/>
      <c r="F72" s="4"/>
    </row>
    <row r="73" spans="4:6" s="3" customFormat="1" x14ac:dyDescent="0.3">
      <c r="D73" s="4"/>
      <c r="E73" s="4"/>
      <c r="F73" s="4"/>
    </row>
    <row r="74" spans="4:6" s="3" customFormat="1" x14ac:dyDescent="0.3">
      <c r="D74" s="4"/>
      <c r="E74" s="4"/>
      <c r="F74" s="4"/>
    </row>
    <row r="75" spans="4:6" s="3" customFormat="1" x14ac:dyDescent="0.3">
      <c r="D75" s="4"/>
      <c r="E75" s="4"/>
      <c r="F75" s="4"/>
    </row>
    <row r="76" spans="4:6" s="3" customFormat="1" x14ac:dyDescent="0.3">
      <c r="D76" s="4"/>
      <c r="E76" s="4"/>
      <c r="F76" s="4"/>
    </row>
    <row r="77" spans="4:6" s="3" customFormat="1" x14ac:dyDescent="0.3">
      <c r="D77" s="4"/>
      <c r="E77" s="4"/>
      <c r="F77" s="4"/>
    </row>
    <row r="78" spans="4:6" s="3" customFormat="1" x14ac:dyDescent="0.3">
      <c r="D78" s="4"/>
      <c r="E78" s="4"/>
      <c r="F78" s="4"/>
    </row>
    <row r="79" spans="4:6" s="3" customFormat="1" x14ac:dyDescent="0.3">
      <c r="D79" s="4"/>
      <c r="E79" s="4"/>
      <c r="F79" s="4"/>
    </row>
    <row r="80" spans="4:6" s="3" customFormat="1" x14ac:dyDescent="0.3">
      <c r="D80" s="4"/>
      <c r="E80" s="4"/>
      <c r="F80" s="4"/>
    </row>
    <row r="81" spans="4:6" s="3" customFormat="1" x14ac:dyDescent="0.3">
      <c r="D81" s="4"/>
      <c r="E81" s="4"/>
      <c r="F81" s="4"/>
    </row>
    <row r="82" spans="4:6" s="3" customFormat="1" x14ac:dyDescent="0.3">
      <c r="D82" s="4"/>
      <c r="E82" s="4"/>
      <c r="F82" s="4"/>
    </row>
    <row r="83" spans="4:6" s="3" customFormat="1" x14ac:dyDescent="0.3">
      <c r="D83" s="4"/>
      <c r="E83" s="4"/>
      <c r="F83" s="4"/>
    </row>
    <row r="84" spans="4:6" s="3" customFormat="1" x14ac:dyDescent="0.3">
      <c r="D84" s="4"/>
      <c r="E84" s="4"/>
      <c r="F84" s="4"/>
    </row>
    <row r="85" spans="4:6" s="3" customFormat="1" x14ac:dyDescent="0.3">
      <c r="D85" s="4"/>
      <c r="E85" s="4"/>
      <c r="F85" s="4"/>
    </row>
    <row r="86" spans="4:6" s="3" customFormat="1" x14ac:dyDescent="0.3">
      <c r="D86" s="4"/>
      <c r="E86" s="4"/>
      <c r="F86" s="4"/>
    </row>
    <row r="87" spans="4:6" s="3" customFormat="1" x14ac:dyDescent="0.3">
      <c r="D87" s="4"/>
      <c r="E87" s="4"/>
      <c r="F87" s="4"/>
    </row>
    <row r="88" spans="4:6" s="3" customFormat="1" x14ac:dyDescent="0.3">
      <c r="D88" s="4"/>
      <c r="E88" s="4"/>
      <c r="F88" s="4"/>
    </row>
    <row r="89" spans="4:6" s="3" customFormat="1" x14ac:dyDescent="0.3">
      <c r="D89" s="4"/>
      <c r="E89" s="4"/>
      <c r="F89" s="4"/>
    </row>
    <row r="90" spans="4:6" s="3" customFormat="1" x14ac:dyDescent="0.3">
      <c r="D90" s="4"/>
      <c r="E90" s="4"/>
      <c r="F90" s="4"/>
    </row>
    <row r="91" spans="4:6" s="3" customFormat="1" x14ac:dyDescent="0.3">
      <c r="D91" s="4"/>
      <c r="E91" s="4"/>
      <c r="F91" s="4"/>
    </row>
    <row r="92" spans="4:6" s="3" customFormat="1" x14ac:dyDescent="0.3">
      <c r="D92" s="4"/>
      <c r="E92" s="4"/>
      <c r="F92" s="4"/>
    </row>
    <row r="93" spans="4:6" s="3" customFormat="1" x14ac:dyDescent="0.3">
      <c r="D93" s="4"/>
      <c r="E93" s="4"/>
      <c r="F93" s="4"/>
    </row>
    <row r="94" spans="4:6" s="3" customFormat="1" x14ac:dyDescent="0.3">
      <c r="D94" s="4"/>
      <c r="E94" s="4"/>
      <c r="F94" s="4"/>
    </row>
    <row r="95" spans="4:6" s="3" customFormat="1" x14ac:dyDescent="0.3">
      <c r="D95" s="4"/>
      <c r="E95" s="4"/>
      <c r="F95" s="4"/>
    </row>
    <row r="96" spans="4:6" s="3" customFormat="1" x14ac:dyDescent="0.3">
      <c r="D96" s="4"/>
      <c r="E96" s="4"/>
      <c r="F96" s="4"/>
    </row>
    <row r="97" spans="4:6" s="3" customFormat="1" x14ac:dyDescent="0.3">
      <c r="D97" s="4"/>
      <c r="E97" s="4"/>
      <c r="F97" s="4"/>
    </row>
    <row r="98" spans="4:6" s="3" customFormat="1" x14ac:dyDescent="0.3">
      <c r="D98" s="4"/>
      <c r="E98" s="4"/>
      <c r="F98" s="4"/>
    </row>
    <row r="99" spans="4:6" s="3" customFormat="1" x14ac:dyDescent="0.3">
      <c r="D99" s="4"/>
      <c r="E99" s="4"/>
      <c r="F99" s="4"/>
    </row>
    <row r="100" spans="4:6" s="3" customFormat="1" x14ac:dyDescent="0.3">
      <c r="D100" s="4"/>
      <c r="E100" s="4"/>
      <c r="F100" s="4"/>
    </row>
    <row r="101" spans="4:6" s="3" customFormat="1" x14ac:dyDescent="0.3">
      <c r="D101" s="4"/>
      <c r="E101" s="4"/>
      <c r="F101" s="4"/>
    </row>
    <row r="102" spans="4:6" s="3" customFormat="1" x14ac:dyDescent="0.3">
      <c r="D102" s="4"/>
      <c r="E102" s="4"/>
      <c r="F102" s="4"/>
    </row>
    <row r="103" spans="4:6" s="3" customFormat="1" x14ac:dyDescent="0.3">
      <c r="D103" s="4"/>
      <c r="E103" s="4"/>
      <c r="F103" s="4"/>
    </row>
    <row r="104" spans="4:6" s="3" customFormat="1" x14ac:dyDescent="0.3">
      <c r="D104" s="4"/>
      <c r="E104" s="4"/>
      <c r="F104" s="4"/>
    </row>
    <row r="105" spans="4:6" s="3" customFormat="1" x14ac:dyDescent="0.3">
      <c r="D105" s="4"/>
      <c r="E105" s="4"/>
      <c r="F105" s="4"/>
    </row>
    <row r="106" spans="4:6" s="3" customFormat="1" x14ac:dyDescent="0.3">
      <c r="D106" s="4"/>
      <c r="E106" s="4"/>
      <c r="F106" s="4"/>
    </row>
    <row r="107" spans="4:6" s="3" customFormat="1" x14ac:dyDescent="0.3">
      <c r="D107" s="4"/>
      <c r="E107" s="4"/>
      <c r="F107" s="4"/>
    </row>
    <row r="108" spans="4:6" s="3" customFormat="1" x14ac:dyDescent="0.3">
      <c r="D108" s="4"/>
      <c r="E108" s="4"/>
      <c r="F108" s="4"/>
    </row>
    <row r="109" spans="4:6" s="3" customFormat="1" x14ac:dyDescent="0.3">
      <c r="D109" s="4"/>
      <c r="E109" s="4"/>
      <c r="F109" s="4"/>
    </row>
    <row r="110" spans="4:6" s="3" customFormat="1" x14ac:dyDescent="0.3">
      <c r="D110" s="4"/>
      <c r="E110" s="4"/>
      <c r="F110" s="4"/>
    </row>
    <row r="111" spans="4:6" s="3" customFormat="1" x14ac:dyDescent="0.3">
      <c r="D111" s="4"/>
      <c r="E111" s="4"/>
      <c r="F111" s="4"/>
    </row>
    <row r="112" spans="4:6" s="3" customFormat="1" x14ac:dyDescent="0.3">
      <c r="D112" s="4"/>
      <c r="E112" s="4"/>
      <c r="F112" s="4"/>
    </row>
    <row r="113" spans="4:6" s="3" customFormat="1" x14ac:dyDescent="0.3">
      <c r="D113" s="4"/>
      <c r="E113" s="4"/>
      <c r="F113" s="4"/>
    </row>
    <row r="114" spans="4:6" s="3" customFormat="1" x14ac:dyDescent="0.3">
      <c r="D114" s="4"/>
      <c r="E114" s="4"/>
      <c r="F114" s="4"/>
    </row>
    <row r="115" spans="4:6" s="3" customFormat="1" x14ac:dyDescent="0.3">
      <c r="D115" s="4"/>
      <c r="E115" s="4"/>
      <c r="F115" s="4"/>
    </row>
    <row r="116" spans="4:6" s="3" customFormat="1" x14ac:dyDescent="0.3">
      <c r="D116" s="4"/>
      <c r="E116" s="4"/>
      <c r="F116" s="4"/>
    </row>
    <row r="117" spans="4:6" s="3" customFormat="1" x14ac:dyDescent="0.3">
      <c r="D117" s="4"/>
      <c r="E117" s="4"/>
      <c r="F117" s="4"/>
    </row>
    <row r="118" spans="4:6" s="3" customFormat="1" x14ac:dyDescent="0.3">
      <c r="D118" s="4"/>
      <c r="E118" s="4"/>
      <c r="F118" s="4"/>
    </row>
    <row r="119" spans="4:6" s="3" customFormat="1" x14ac:dyDescent="0.3">
      <c r="D119" s="4"/>
      <c r="E119" s="4"/>
      <c r="F119" s="4"/>
    </row>
    <row r="120" spans="4:6" s="3" customFormat="1" x14ac:dyDescent="0.3">
      <c r="D120" s="4"/>
      <c r="E120" s="4"/>
      <c r="F120" s="4"/>
    </row>
    <row r="121" spans="4:6" s="3" customFormat="1" x14ac:dyDescent="0.3">
      <c r="D121" s="4"/>
      <c r="E121" s="4"/>
      <c r="F121" s="4"/>
    </row>
    <row r="122" spans="4:6" s="3" customFormat="1" x14ac:dyDescent="0.3">
      <c r="D122" s="4"/>
      <c r="E122" s="4"/>
      <c r="F122" s="4"/>
    </row>
    <row r="123" spans="4:6" s="3" customFormat="1" x14ac:dyDescent="0.3">
      <c r="D123" s="4"/>
      <c r="E123" s="4"/>
      <c r="F123" s="4"/>
    </row>
    <row r="124" spans="4:6" s="3" customFormat="1" x14ac:dyDescent="0.3">
      <c r="D124" s="4"/>
      <c r="E124" s="4"/>
      <c r="F124" s="4"/>
    </row>
    <row r="125" spans="4:6" s="3" customFormat="1" x14ac:dyDescent="0.3">
      <c r="D125" s="4"/>
      <c r="E125" s="4"/>
      <c r="F125" s="4"/>
    </row>
    <row r="126" spans="4:6" s="3" customFormat="1" x14ac:dyDescent="0.3">
      <c r="D126" s="4"/>
      <c r="E126" s="4"/>
      <c r="F126" s="4"/>
    </row>
    <row r="127" spans="4:6" s="3" customFormat="1" x14ac:dyDescent="0.3">
      <c r="D127" s="4"/>
      <c r="E127" s="4"/>
      <c r="F127" s="4"/>
    </row>
    <row r="128" spans="4:6" s="3" customFormat="1" x14ac:dyDescent="0.3">
      <c r="D128" s="4"/>
      <c r="E128" s="4"/>
      <c r="F128" s="4"/>
    </row>
  </sheetData>
  <mergeCells count="2">
    <mergeCell ref="A4:A16"/>
    <mergeCell ref="A17:A29"/>
  </mergeCells>
  <pageMargins left="0.25" right="0.25" top="0.75" bottom="0.75" header="0.3" footer="0.3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Drop Down 4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0"/>
  <sheetViews>
    <sheetView tabSelected="1" zoomScale="46" zoomScaleNormal="46" workbookViewId="0">
      <selection activeCell="C29" sqref="C29"/>
    </sheetView>
  </sheetViews>
  <sheetFormatPr defaultRowHeight="14.4" x14ac:dyDescent="0.3"/>
  <cols>
    <col min="2" max="2" width="18.77734375" customWidth="1"/>
    <col min="3" max="3" width="27.5546875" customWidth="1"/>
    <col min="4" max="4" width="25.21875" customWidth="1"/>
    <col min="5" max="5" width="23.44140625" customWidth="1"/>
    <col min="6" max="6" width="20.44140625" customWidth="1"/>
    <col min="7" max="7" width="22.33203125" customWidth="1"/>
    <col min="8" max="8" width="23.109375" customWidth="1"/>
    <col min="9" max="9" width="25.77734375" customWidth="1"/>
    <col min="10" max="10" width="26.109375" customWidth="1"/>
    <col min="11" max="11" width="20.44140625" customWidth="1"/>
    <col min="12" max="12" width="19.21875" customWidth="1"/>
    <col min="13" max="13" width="24.33203125" customWidth="1"/>
    <col min="14" max="14" width="20.21875" customWidth="1"/>
    <col min="15" max="15" width="22" customWidth="1"/>
    <col min="16" max="16" width="21.5546875" customWidth="1"/>
    <col min="17" max="17" width="20.21875" customWidth="1"/>
    <col min="18" max="19" width="20.88671875" customWidth="1"/>
    <col min="20" max="20" width="24.6640625" customWidth="1"/>
    <col min="21" max="21" width="16.6640625" customWidth="1"/>
  </cols>
  <sheetData>
    <row r="1" spans="1:22" ht="21" customHeight="1" x14ac:dyDescent="0.4">
      <c r="A1" s="68" t="str">
        <f>IF([1]L!$A$1=1,[1]L!G2,IF([1]L!$A$1=2,[1]L!G11,[1]L!G21))</f>
        <v>Tabela 1: Pagesat</v>
      </c>
      <c r="B1" s="104"/>
      <c r="C1" s="104"/>
      <c r="D1" s="105"/>
      <c r="E1" s="104"/>
      <c r="F1" s="104"/>
      <c r="G1" s="104"/>
      <c r="H1" s="104"/>
      <c r="I1" s="104"/>
      <c r="J1" s="106"/>
      <c r="K1" s="106"/>
      <c r="L1" s="107"/>
      <c r="M1" s="108"/>
      <c r="N1" s="107"/>
      <c r="O1" s="107"/>
      <c r="P1" s="106"/>
      <c r="Q1" s="107"/>
      <c r="R1" s="106"/>
      <c r="S1" s="106"/>
      <c r="T1" s="106"/>
      <c r="U1" s="106"/>
      <c r="V1" s="106"/>
    </row>
    <row r="2" spans="1:22" ht="21" x14ac:dyDescent="0.4">
      <c r="A2" s="109" t="s">
        <v>876</v>
      </c>
      <c r="B2" s="110"/>
      <c r="C2" s="110"/>
      <c r="D2" s="68"/>
      <c r="E2" s="68"/>
      <c r="F2" s="68"/>
      <c r="G2" s="68"/>
      <c r="H2" s="68"/>
      <c r="I2" s="68"/>
      <c r="J2" s="106"/>
      <c r="K2" s="106"/>
      <c r="L2" s="106"/>
      <c r="M2" s="106"/>
      <c r="N2" s="107"/>
      <c r="O2" s="106"/>
      <c r="P2" s="106"/>
      <c r="Q2" s="106"/>
      <c r="R2" s="106"/>
      <c r="S2" s="106"/>
      <c r="T2" s="106"/>
      <c r="U2" s="106"/>
      <c r="V2" s="106"/>
    </row>
    <row r="3" spans="1:22" ht="21" x14ac:dyDescent="0.4">
      <c r="A3" s="161"/>
      <c r="B3" s="161"/>
      <c r="C3" s="111"/>
      <c r="D3" s="113"/>
      <c r="E3" s="114"/>
      <c r="F3" s="114"/>
      <c r="G3" s="114"/>
      <c r="H3" s="114"/>
      <c r="I3" s="115"/>
      <c r="J3" s="113"/>
      <c r="K3" s="114"/>
      <c r="L3" s="114"/>
      <c r="M3" s="114"/>
      <c r="N3" s="114"/>
      <c r="O3" s="115"/>
      <c r="P3" s="113"/>
      <c r="Q3" s="114"/>
      <c r="R3" s="114"/>
      <c r="S3" s="114"/>
      <c r="T3" s="114"/>
      <c r="U3" s="115"/>
      <c r="V3" s="116"/>
    </row>
    <row r="4" spans="1:22" ht="21" x14ac:dyDescent="0.4">
      <c r="A4" s="162"/>
      <c r="B4" s="162"/>
      <c r="C4" s="117"/>
      <c r="D4" s="119"/>
      <c r="E4" s="151"/>
      <c r="F4" s="149"/>
      <c r="G4" s="149"/>
      <c r="H4" s="149"/>
      <c r="I4" s="149"/>
      <c r="J4" s="119"/>
      <c r="K4" s="151"/>
      <c r="L4" s="149"/>
      <c r="M4" s="149"/>
      <c r="N4" s="149"/>
      <c r="O4" s="149"/>
      <c r="P4" s="119"/>
      <c r="Q4" s="151"/>
      <c r="R4" s="149"/>
      <c r="S4" s="149"/>
      <c r="T4" s="157" t="s">
        <v>21</v>
      </c>
      <c r="U4" s="149"/>
      <c r="V4" s="116"/>
    </row>
    <row r="5" spans="1:22" ht="42" x14ac:dyDescent="0.4">
      <c r="A5" s="162"/>
      <c r="B5" s="163"/>
      <c r="C5" s="121" t="str">
        <f>IF([1]L!$A$1=1,[1]L!I4,IF([1]L!$A$1=2,[1]L!I13,[1]L!I23))</f>
        <v>Gjithsejt Pagesat</v>
      </c>
      <c r="D5" s="150" t="str">
        <f>IF([1]L!$A$1=1,[1]L!S4,IF([1]L!$A$1=2,[1]L!S13,[1]L!S23))</f>
        <v>Qeveria Lokale</v>
      </c>
      <c r="E5" s="150" t="str">
        <f>IF([1]L!$A$1=1,[1]L!T4,IF([1]L!$A$1=2,[1]L!T13,[1]L!T23))</f>
        <v>Paga</v>
      </c>
      <c r="F5" s="150" t="str">
        <f>IF([1]L!$A$1=1,[1]L!U4,IF([1]L!$A$1=2,[1]L!U13,[1]L!U23))</f>
        <v>Mallra dhe shërbime</v>
      </c>
      <c r="G5" s="150" t="str">
        <f>IF([1]L!$A$1=1,[1]L!V4,IF([1]L!$A$1=2,[1]L!V13,[1]L!V23))</f>
        <v>Shpenzime komunale</v>
      </c>
      <c r="H5" s="150" t="str">
        <f>IF([1]L!$A$1=1,[1]L!W4,IF([1]L!$A$1=2,[1]L!W13,[1]L!W23))</f>
        <v>Subvencione dhe Transfere</v>
      </c>
      <c r="I5" s="150" t="str">
        <f>IF([1]L!$A$1=1,[1]L!X4,IF([1]L!$A$1=2,[1]L!X13,[1]L!X23))</f>
        <v>Shpenzime Kapitale</v>
      </c>
      <c r="J5" s="150" t="s">
        <v>868</v>
      </c>
      <c r="K5" s="150" t="s">
        <v>0</v>
      </c>
      <c r="L5" s="150" t="s">
        <v>32</v>
      </c>
      <c r="M5" s="150" t="s">
        <v>33</v>
      </c>
      <c r="N5" s="150" t="s">
        <v>21</v>
      </c>
      <c r="O5" s="150" t="s">
        <v>35</v>
      </c>
      <c r="P5" s="150" t="s">
        <v>869</v>
      </c>
      <c r="Q5" s="150" t="s">
        <v>0</v>
      </c>
      <c r="R5" s="150" t="s">
        <v>32</v>
      </c>
      <c r="S5" s="150" t="s">
        <v>33</v>
      </c>
      <c r="T5" s="158"/>
      <c r="U5" s="150" t="s">
        <v>35</v>
      </c>
      <c r="V5" s="123"/>
    </row>
    <row r="6" spans="1:22" ht="42" customHeight="1" x14ac:dyDescent="0.4">
      <c r="A6" s="153">
        <v>2026</v>
      </c>
      <c r="B6" s="124" t="s">
        <v>879</v>
      </c>
      <c r="C6" s="125">
        <f>E6+F6+G6+H6+K6++L6+M6+Q6+R6</f>
        <v>2728256.09</v>
      </c>
      <c r="D6" s="127">
        <f>E6+F6+G6+H6</f>
        <v>850888.18</v>
      </c>
      <c r="E6" s="128">
        <v>252754.51</v>
      </c>
      <c r="F6" s="125">
        <v>515532.65</v>
      </c>
      <c r="G6" s="125">
        <v>41101.019999999997</v>
      </c>
      <c r="H6" s="125">
        <v>41500</v>
      </c>
      <c r="I6" s="126"/>
      <c r="J6" s="127"/>
      <c r="K6" s="129">
        <v>1382018.91</v>
      </c>
      <c r="L6" s="125">
        <v>99982.5</v>
      </c>
      <c r="M6" s="125">
        <v>10589.53</v>
      </c>
      <c r="N6" s="125"/>
      <c r="O6" s="126"/>
      <c r="P6" s="127"/>
      <c r="Q6" s="129">
        <v>267823.87</v>
      </c>
      <c r="R6" s="125">
        <v>116953.1</v>
      </c>
      <c r="S6" s="125"/>
      <c r="T6" s="125"/>
      <c r="U6" s="130"/>
      <c r="V6" s="106"/>
    </row>
    <row r="7" spans="1:22" ht="30" customHeight="1" x14ac:dyDescent="0.4">
      <c r="A7" s="154"/>
      <c r="B7" s="124" t="s">
        <v>880</v>
      </c>
      <c r="C7" s="125"/>
      <c r="D7" s="131"/>
      <c r="E7" s="129"/>
      <c r="F7" s="125"/>
      <c r="G7" s="125"/>
      <c r="H7" s="125"/>
      <c r="I7" s="126"/>
      <c r="J7" s="127"/>
      <c r="K7" s="129"/>
      <c r="L7" s="125"/>
      <c r="M7" s="125"/>
      <c r="N7" s="125"/>
      <c r="O7" s="126"/>
      <c r="P7" s="127"/>
      <c r="Q7" s="129"/>
      <c r="R7" s="125"/>
      <c r="S7" s="125"/>
      <c r="T7" s="125"/>
      <c r="U7" s="130"/>
      <c r="V7" s="106"/>
    </row>
    <row r="8" spans="1:22" ht="36.6" customHeight="1" x14ac:dyDescent="0.4">
      <c r="A8" s="154"/>
      <c r="B8" s="124" t="s">
        <v>881</v>
      </c>
      <c r="C8" s="125"/>
      <c r="D8" s="131"/>
      <c r="E8" s="128"/>
      <c r="F8" s="125"/>
      <c r="G8" s="125"/>
      <c r="H8" s="125"/>
      <c r="I8" s="126"/>
      <c r="J8" s="127"/>
      <c r="K8" s="129"/>
      <c r="L8" s="125"/>
      <c r="M8" s="125"/>
      <c r="N8" s="125"/>
      <c r="O8" s="126"/>
      <c r="P8" s="127"/>
      <c r="Q8" s="129"/>
      <c r="R8" s="125"/>
      <c r="S8" s="125"/>
      <c r="T8" s="125"/>
      <c r="U8" s="130"/>
      <c r="V8" s="106"/>
    </row>
    <row r="9" spans="1:22" ht="30" customHeight="1" x14ac:dyDescent="0.4">
      <c r="A9" s="154"/>
      <c r="B9" s="124" t="s">
        <v>882</v>
      </c>
      <c r="C9" s="125"/>
      <c r="D9" s="131"/>
      <c r="E9" s="128"/>
      <c r="F9" s="125"/>
      <c r="G9" s="125"/>
      <c r="H9" s="125"/>
      <c r="I9" s="132"/>
      <c r="J9" s="127"/>
      <c r="K9" s="129"/>
      <c r="L9" s="125"/>
      <c r="M9" s="125"/>
      <c r="N9" s="125"/>
      <c r="O9" s="126"/>
      <c r="P9" s="127"/>
      <c r="Q9" s="129"/>
      <c r="R9" s="125"/>
      <c r="S9" s="125"/>
      <c r="T9" s="125"/>
      <c r="U9" s="130"/>
      <c r="V9" s="106"/>
    </row>
    <row r="10" spans="1:22" ht="30" customHeight="1" x14ac:dyDescent="0.4">
      <c r="A10" s="154"/>
      <c r="B10" s="124" t="s">
        <v>883</v>
      </c>
      <c r="C10" s="125"/>
      <c r="D10" s="131"/>
      <c r="E10" s="128"/>
      <c r="F10" s="125"/>
      <c r="G10" s="125"/>
      <c r="H10" s="125"/>
      <c r="I10" s="126"/>
      <c r="J10" s="127"/>
      <c r="K10" s="125"/>
      <c r="L10" s="125"/>
      <c r="M10" s="125"/>
      <c r="N10" s="125"/>
      <c r="O10" s="126"/>
      <c r="P10" s="127"/>
      <c r="Q10" s="129"/>
      <c r="R10" s="125"/>
      <c r="S10" s="125"/>
      <c r="T10" s="125"/>
      <c r="U10" s="130"/>
      <c r="V10" s="106"/>
    </row>
    <row r="11" spans="1:22" ht="31.2" customHeight="1" x14ac:dyDescent="0.4">
      <c r="A11" s="154"/>
      <c r="B11" s="124" t="s">
        <v>884</v>
      </c>
      <c r="C11" s="125"/>
      <c r="D11" s="131"/>
      <c r="E11" s="128"/>
      <c r="F11" s="125"/>
      <c r="G11" s="125"/>
      <c r="H11" s="125"/>
      <c r="I11" s="126"/>
      <c r="J11" s="127"/>
      <c r="K11" s="125"/>
      <c r="L11" s="125"/>
      <c r="M11" s="125"/>
      <c r="N11" s="125"/>
      <c r="O11" s="126"/>
      <c r="P11" s="127"/>
      <c r="Q11" s="129"/>
      <c r="R11" s="125"/>
      <c r="S11" s="125"/>
      <c r="T11" s="125"/>
      <c r="U11" s="130"/>
      <c r="V11" s="106"/>
    </row>
    <row r="12" spans="1:22" ht="28.8" customHeight="1" x14ac:dyDescent="0.4">
      <c r="A12" s="154"/>
      <c r="B12" s="124" t="s">
        <v>885</v>
      </c>
      <c r="C12" s="125"/>
      <c r="D12" s="131"/>
      <c r="E12" s="128"/>
      <c r="F12" s="125"/>
      <c r="G12" s="125"/>
      <c r="H12" s="125"/>
      <c r="I12" s="126"/>
      <c r="J12" s="127"/>
      <c r="K12" s="125"/>
      <c r="L12" s="125"/>
      <c r="M12" s="125"/>
      <c r="N12" s="125"/>
      <c r="O12" s="126"/>
      <c r="P12" s="127"/>
      <c r="Q12" s="129"/>
      <c r="R12" s="125"/>
      <c r="S12" s="125"/>
      <c r="T12" s="125"/>
      <c r="U12" s="130"/>
      <c r="V12" s="106"/>
    </row>
    <row r="13" spans="1:22" ht="27.6" customHeight="1" x14ac:dyDescent="0.4">
      <c r="A13" s="154"/>
      <c r="B13" s="124" t="s">
        <v>886</v>
      </c>
      <c r="C13" s="125"/>
      <c r="D13" s="131"/>
      <c r="E13" s="128"/>
      <c r="F13" s="125"/>
      <c r="G13" s="125"/>
      <c r="H13" s="125"/>
      <c r="I13" s="126"/>
      <c r="J13" s="127"/>
      <c r="K13" s="129"/>
      <c r="L13" s="125"/>
      <c r="M13" s="125"/>
      <c r="N13" s="125"/>
      <c r="O13" s="126"/>
      <c r="P13" s="127"/>
      <c r="Q13" s="129"/>
      <c r="R13" s="125"/>
      <c r="S13" s="125"/>
      <c r="T13" s="125"/>
      <c r="U13" s="130"/>
      <c r="V13" s="106"/>
    </row>
    <row r="14" spans="1:22" ht="28.8" customHeight="1" x14ac:dyDescent="0.4">
      <c r="A14" s="154"/>
      <c r="B14" s="124" t="s">
        <v>887</v>
      </c>
      <c r="C14" s="125"/>
      <c r="D14" s="131"/>
      <c r="E14" s="128"/>
      <c r="F14" s="133"/>
      <c r="G14" s="125"/>
      <c r="H14" s="125"/>
      <c r="I14" s="126"/>
      <c r="J14" s="127"/>
      <c r="K14" s="129"/>
      <c r="L14" s="125"/>
      <c r="M14" s="125"/>
      <c r="N14" s="125"/>
      <c r="O14" s="126"/>
      <c r="P14" s="127"/>
      <c r="Q14" s="129"/>
      <c r="R14" s="125"/>
      <c r="S14" s="125"/>
      <c r="T14" s="125"/>
      <c r="U14" s="130"/>
      <c r="V14" s="106"/>
    </row>
    <row r="15" spans="1:22" ht="33" customHeight="1" x14ac:dyDescent="0.4">
      <c r="A15" s="155"/>
      <c r="B15" s="124" t="s">
        <v>888</v>
      </c>
      <c r="C15" s="125"/>
      <c r="D15" s="131"/>
      <c r="E15" s="128"/>
      <c r="F15" s="125"/>
      <c r="G15" s="125"/>
      <c r="H15" s="134"/>
      <c r="I15" s="135"/>
      <c r="J15" s="127"/>
      <c r="K15" s="129"/>
      <c r="L15" s="125"/>
      <c r="M15" s="134"/>
      <c r="N15" s="134"/>
      <c r="O15" s="135"/>
      <c r="P15" s="127"/>
      <c r="Q15" s="129"/>
      <c r="R15" s="125"/>
      <c r="S15" s="134"/>
      <c r="T15" s="134"/>
      <c r="U15" s="136"/>
      <c r="V15" s="106"/>
    </row>
    <row r="16" spans="1:22" ht="35.4" customHeight="1" x14ac:dyDescent="0.4">
      <c r="A16" s="155"/>
      <c r="B16" s="124" t="s">
        <v>889</v>
      </c>
      <c r="C16" s="125"/>
      <c r="D16" s="131"/>
      <c r="E16" s="128"/>
      <c r="F16" s="125"/>
      <c r="G16" s="125"/>
      <c r="H16" s="134"/>
      <c r="I16" s="135"/>
      <c r="J16" s="127"/>
      <c r="K16" s="129"/>
      <c r="L16" s="125"/>
      <c r="M16" s="134"/>
      <c r="N16" s="134"/>
      <c r="O16" s="135"/>
      <c r="P16" s="127"/>
      <c r="Q16" s="129"/>
      <c r="R16" s="125"/>
      <c r="S16" s="134"/>
      <c r="T16" s="134"/>
      <c r="U16" s="136"/>
      <c r="V16" s="106"/>
    </row>
    <row r="17" spans="1:22" ht="31.2" customHeight="1" x14ac:dyDescent="0.4">
      <c r="A17" s="155"/>
      <c r="B17" s="137" t="s">
        <v>890</v>
      </c>
      <c r="C17" s="134"/>
      <c r="D17" s="131"/>
      <c r="E17" s="138"/>
      <c r="F17" s="134"/>
      <c r="G17" s="125"/>
      <c r="H17" s="139"/>
      <c r="I17" s="135"/>
      <c r="J17" s="127"/>
      <c r="K17" s="140"/>
      <c r="L17" s="134"/>
      <c r="M17" s="139"/>
      <c r="N17" s="139"/>
      <c r="O17" s="141"/>
      <c r="P17" s="127"/>
      <c r="Q17" s="140"/>
      <c r="R17" s="125"/>
      <c r="S17" s="139"/>
      <c r="T17" s="139"/>
      <c r="U17" s="142"/>
      <c r="V17" s="106"/>
    </row>
    <row r="18" spans="1:22" ht="35.4" customHeight="1" x14ac:dyDescent="0.4">
      <c r="A18" s="156"/>
      <c r="B18" s="143" t="s">
        <v>894</v>
      </c>
      <c r="C18" s="144">
        <f>D18+J18+P18</f>
        <v>850888.18</v>
      </c>
      <c r="D18" s="144">
        <f>SUM(D6:D17)</f>
        <v>850888.18</v>
      </c>
      <c r="E18" s="144">
        <f>SUM(E6:E17)</f>
        <v>252754.51</v>
      </c>
      <c r="F18" s="144">
        <f>SUM(F6:F17)</f>
        <v>515532.65</v>
      </c>
      <c r="G18" s="144">
        <f>SUM(G6:G17)</f>
        <v>41101.019999999997</v>
      </c>
      <c r="H18" s="144">
        <f>SUM(H6:H17)</f>
        <v>41500</v>
      </c>
      <c r="I18" s="144">
        <f t="shared" ref="I18:O18" si="0">SUM(I6:I17)</f>
        <v>0</v>
      </c>
      <c r="J18" s="144">
        <f t="shared" si="0"/>
        <v>0</v>
      </c>
      <c r="K18" s="144">
        <f t="shared" si="0"/>
        <v>1382018.91</v>
      </c>
      <c r="L18" s="144">
        <f t="shared" si="0"/>
        <v>99982.5</v>
      </c>
      <c r="M18" s="144">
        <f t="shared" si="0"/>
        <v>10589.53</v>
      </c>
      <c r="N18" s="144">
        <f t="shared" si="0"/>
        <v>0</v>
      </c>
      <c r="O18" s="145">
        <f t="shared" si="0"/>
        <v>0</v>
      </c>
      <c r="P18" s="144">
        <f t="shared" ref="P18:Q18" si="1">SUM(P6:P17)</f>
        <v>0</v>
      </c>
      <c r="Q18" s="146">
        <f t="shared" si="1"/>
        <v>267823.87</v>
      </c>
      <c r="R18" s="144">
        <f>SUM(R6:R17)</f>
        <v>116953.1</v>
      </c>
      <c r="S18" s="144">
        <f t="shared" ref="S18:U18" si="2">SUM(S6:S17)</f>
        <v>0</v>
      </c>
      <c r="T18" s="144">
        <f t="shared" si="2"/>
        <v>0</v>
      </c>
      <c r="U18" s="144">
        <f t="shared" si="2"/>
        <v>0</v>
      </c>
      <c r="V18" s="106"/>
    </row>
    <row r="19" spans="1:22" ht="21" x14ac:dyDescent="0.4">
      <c r="E19" s="130"/>
      <c r="F19" s="106"/>
    </row>
    <row r="30" spans="1:22" ht="21" x14ac:dyDescent="0.4">
      <c r="F30" s="106"/>
    </row>
  </sheetData>
  <mergeCells count="4">
    <mergeCell ref="A3:A5"/>
    <mergeCell ref="B3:B5"/>
    <mergeCell ref="T4:T5"/>
    <mergeCell ref="A6:A18"/>
  </mergeCells>
  <pageMargins left="0.7" right="0.7" top="0.75" bottom="0.75" header="0.3" footer="0.3"/>
  <pageSetup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1066800</xdr:colOff>
                    <xdr:row>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1066800</xdr:colOff>
                    <xdr:row>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2"/>
  <sheetViews>
    <sheetView zoomScale="80" zoomScaleNormal="80" workbookViewId="0">
      <selection activeCell="D29" sqref="D29"/>
    </sheetView>
  </sheetViews>
  <sheetFormatPr defaultRowHeight="14.4" x14ac:dyDescent="0.3"/>
  <cols>
    <col min="2" max="2" width="13.44140625" customWidth="1"/>
    <col min="3" max="3" width="15.33203125" customWidth="1"/>
    <col min="4" max="4" width="13.88671875" customWidth="1"/>
    <col min="5" max="5" width="14.77734375" customWidth="1"/>
    <col min="6" max="6" width="13.5546875" customWidth="1"/>
    <col min="7" max="7" width="16.109375" customWidth="1"/>
    <col min="8" max="8" width="13.44140625" customWidth="1"/>
    <col min="9" max="9" width="13.77734375" customWidth="1"/>
    <col min="10" max="10" width="12.6640625" customWidth="1"/>
    <col min="11" max="11" width="12.44140625" customWidth="1"/>
    <col min="12" max="12" width="12.88671875" customWidth="1"/>
  </cols>
  <sheetData>
    <row r="1" spans="1:12" s="3" customFormat="1" ht="26.25" customHeight="1" x14ac:dyDescent="0.3">
      <c r="A1" s="12" t="str">
        <f>IF([2]L!$A$1=1,[2]L!G6,IF([2]L!$A$1=2,[2]L!G16,[2]L!G26))</f>
        <v>Tabela 2: Pranimet</v>
      </c>
      <c r="B1" s="12"/>
      <c r="D1" s="4"/>
      <c r="E1" s="4"/>
      <c r="F1" s="4"/>
    </row>
    <row r="2" spans="1:12" s="3" customFormat="1" ht="17.25" customHeight="1" x14ac:dyDescent="0.3">
      <c r="A2" s="73" t="s">
        <v>876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</row>
    <row r="3" spans="1:12" s="2" customFormat="1" ht="82.5" customHeight="1" x14ac:dyDescent="0.3">
      <c r="A3" s="75" t="str">
        <f>IF([2]L!$A$1=1,[2]L!G8,IF([2]L!$A$1=2,[2]L!G18,[2]L!G28))</f>
        <v>Viti</v>
      </c>
      <c r="B3" s="75" t="str">
        <f>IF([2]L!$A$1=1,[2]L!H8,IF([2]L!$A$1=2,[2]L!H18,[2]L!H28))</f>
        <v>Viti / Muaji</v>
      </c>
      <c r="C3" s="76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77" t="s">
        <v>870</v>
      </c>
      <c r="F3" s="78" t="s">
        <v>873</v>
      </c>
      <c r="G3" s="67" t="s">
        <v>871</v>
      </c>
      <c r="H3" s="67" t="s">
        <v>878</v>
      </c>
      <c r="I3" s="67" t="s">
        <v>872</v>
      </c>
      <c r="J3" s="67" t="s">
        <v>874</v>
      </c>
      <c r="K3" s="67" t="s">
        <v>875</v>
      </c>
      <c r="L3" s="67" t="s">
        <v>877</v>
      </c>
    </row>
    <row r="4" spans="1:12" s="3" customFormat="1" x14ac:dyDescent="0.3">
      <c r="A4" s="164">
        <v>2024</v>
      </c>
      <c r="B4" s="5" t="s">
        <v>879</v>
      </c>
      <c r="C4" s="85">
        <f>D4+E4+G4+I4+J4+K4+L4</f>
        <v>201561.65999999997</v>
      </c>
      <c r="D4" s="92">
        <v>79935.520000000004</v>
      </c>
      <c r="E4" s="93">
        <v>31682.78</v>
      </c>
      <c r="F4" s="95"/>
      <c r="G4" s="94">
        <v>8406</v>
      </c>
      <c r="H4" s="94"/>
      <c r="I4" s="89">
        <v>28555</v>
      </c>
      <c r="J4" s="96">
        <v>12685.5</v>
      </c>
      <c r="K4" s="80">
        <v>9710</v>
      </c>
      <c r="L4" s="83">
        <v>30586.86</v>
      </c>
    </row>
    <row r="5" spans="1:12" s="3" customFormat="1" x14ac:dyDescent="0.3">
      <c r="A5" s="164"/>
      <c r="B5" s="5" t="s">
        <v>880</v>
      </c>
      <c r="C5" s="85"/>
      <c r="D5" s="87"/>
      <c r="E5" s="88"/>
      <c r="F5" s="95"/>
      <c r="G5" s="89"/>
      <c r="H5" s="89"/>
      <c r="I5" s="89"/>
      <c r="J5" s="90"/>
      <c r="K5" s="80"/>
      <c r="L5" s="83"/>
    </row>
    <row r="6" spans="1:12" s="3" customFormat="1" x14ac:dyDescent="0.3">
      <c r="A6" s="164"/>
      <c r="B6" s="5" t="s">
        <v>881</v>
      </c>
      <c r="C6" s="85"/>
      <c r="D6" s="87"/>
      <c r="E6" s="88"/>
      <c r="F6" s="95"/>
      <c r="G6" s="89"/>
      <c r="H6" s="89"/>
      <c r="I6" s="89"/>
      <c r="J6" s="90"/>
      <c r="K6" s="91"/>
      <c r="L6" s="83"/>
    </row>
    <row r="7" spans="1:12" s="3" customFormat="1" x14ac:dyDescent="0.3">
      <c r="A7" s="164"/>
      <c r="B7" s="5" t="s">
        <v>882</v>
      </c>
      <c r="C7" s="85"/>
      <c r="D7" s="87"/>
      <c r="E7" s="88"/>
      <c r="F7" s="95"/>
      <c r="G7" s="89"/>
      <c r="H7" s="89"/>
      <c r="I7" s="89"/>
      <c r="J7" s="90"/>
      <c r="K7" s="91"/>
      <c r="L7" s="83"/>
    </row>
    <row r="8" spans="1:12" s="3" customFormat="1" x14ac:dyDescent="0.3">
      <c r="A8" s="164"/>
      <c r="B8" s="5" t="s">
        <v>883</v>
      </c>
      <c r="C8" s="85"/>
      <c r="D8" s="87"/>
      <c r="E8" s="88"/>
      <c r="F8" s="95"/>
      <c r="G8" s="89"/>
      <c r="H8" s="97"/>
      <c r="I8" s="89"/>
      <c r="J8" s="90"/>
      <c r="K8" s="80"/>
      <c r="L8" s="83"/>
    </row>
    <row r="9" spans="1:12" s="3" customFormat="1" x14ac:dyDescent="0.3">
      <c r="A9" s="164"/>
      <c r="B9" s="5" t="s">
        <v>884</v>
      </c>
      <c r="C9" s="85"/>
      <c r="D9" s="87"/>
      <c r="E9" s="88"/>
      <c r="F9" s="100"/>
      <c r="G9" s="89"/>
      <c r="H9" s="89"/>
      <c r="I9" s="89"/>
      <c r="J9" s="90"/>
      <c r="K9" s="80"/>
      <c r="L9" s="83"/>
    </row>
    <row r="10" spans="1:12" s="3" customFormat="1" x14ac:dyDescent="0.3">
      <c r="A10" s="164"/>
      <c r="B10" s="5" t="s">
        <v>885</v>
      </c>
      <c r="C10" s="85"/>
      <c r="D10" s="87"/>
      <c r="E10" s="88"/>
      <c r="F10" s="95"/>
      <c r="G10" s="89"/>
      <c r="H10" s="89"/>
      <c r="I10" s="89"/>
      <c r="J10" s="90"/>
      <c r="K10" s="80"/>
      <c r="L10" s="83"/>
    </row>
    <row r="11" spans="1:12" s="3" customFormat="1" x14ac:dyDescent="0.3">
      <c r="A11" s="164"/>
      <c r="B11" s="5" t="s">
        <v>886</v>
      </c>
      <c r="C11" s="85"/>
      <c r="D11" s="87"/>
      <c r="E11" s="88"/>
      <c r="F11" s="95"/>
      <c r="G11" s="89"/>
      <c r="H11" s="89"/>
      <c r="I11" s="89"/>
      <c r="J11" s="90"/>
      <c r="K11" s="80"/>
      <c r="L11" s="83"/>
    </row>
    <row r="12" spans="1:12" s="3" customFormat="1" x14ac:dyDescent="0.3">
      <c r="A12" s="164"/>
      <c r="B12" s="5" t="s">
        <v>887</v>
      </c>
      <c r="C12" s="85"/>
      <c r="D12" s="87"/>
      <c r="E12" s="88"/>
      <c r="F12" s="95"/>
      <c r="G12" s="89"/>
      <c r="H12" s="89"/>
      <c r="I12" s="89"/>
      <c r="J12" s="90"/>
      <c r="K12" s="91"/>
      <c r="L12" s="83"/>
    </row>
    <row r="13" spans="1:12" s="3" customFormat="1" x14ac:dyDescent="0.3">
      <c r="A13" s="164"/>
      <c r="B13" s="5" t="s">
        <v>888</v>
      </c>
      <c r="C13" s="85"/>
      <c r="D13" s="87"/>
      <c r="E13" s="88"/>
      <c r="F13" s="95"/>
      <c r="G13" s="98"/>
      <c r="H13" s="89"/>
      <c r="I13" s="89"/>
      <c r="J13" s="90"/>
      <c r="K13" s="80"/>
      <c r="L13" s="95"/>
    </row>
    <row r="14" spans="1:12" s="3" customFormat="1" x14ac:dyDescent="0.3">
      <c r="A14" s="164"/>
      <c r="B14" s="5" t="s">
        <v>889</v>
      </c>
      <c r="C14" s="85"/>
      <c r="D14" s="99"/>
      <c r="E14" s="86"/>
      <c r="F14" s="99"/>
      <c r="G14" s="99"/>
      <c r="H14" s="84"/>
      <c r="I14" s="84"/>
      <c r="J14" s="84"/>
      <c r="K14" s="84"/>
      <c r="L14" s="99"/>
    </row>
    <row r="15" spans="1:12" s="3" customFormat="1" x14ac:dyDescent="0.3">
      <c r="A15" s="164"/>
      <c r="B15" s="5" t="s">
        <v>890</v>
      </c>
      <c r="C15" s="85"/>
      <c r="D15" s="99"/>
      <c r="E15" s="99"/>
      <c r="F15" s="99"/>
      <c r="G15" s="99"/>
      <c r="H15" s="84"/>
      <c r="I15" s="84"/>
      <c r="J15" s="84"/>
      <c r="K15" s="84"/>
      <c r="L15" s="99"/>
    </row>
    <row r="16" spans="1:12" s="3" customFormat="1" x14ac:dyDescent="0.3">
      <c r="A16" s="164"/>
      <c r="B16" s="6" t="s">
        <v>891</v>
      </c>
      <c r="C16" s="82">
        <f>SUM(C4:C15)</f>
        <v>201561.65999999997</v>
      </c>
      <c r="D16" s="82">
        <f t="shared" ref="D16:L16" si="0">SUM(D4:D15)</f>
        <v>79935.520000000004</v>
      </c>
      <c r="E16" s="82">
        <f t="shared" si="0"/>
        <v>31682.78</v>
      </c>
      <c r="F16" s="79">
        <f t="shared" si="0"/>
        <v>0</v>
      </c>
      <c r="G16" s="82">
        <f t="shared" si="0"/>
        <v>8406</v>
      </c>
      <c r="H16" s="82">
        <f t="shared" si="0"/>
        <v>0</v>
      </c>
      <c r="I16" s="82">
        <f t="shared" si="0"/>
        <v>28555</v>
      </c>
      <c r="J16" s="82">
        <f t="shared" si="0"/>
        <v>12685.5</v>
      </c>
      <c r="K16" s="82">
        <f t="shared" si="0"/>
        <v>9710</v>
      </c>
      <c r="L16" s="81">
        <f t="shared" si="0"/>
        <v>30586.86</v>
      </c>
    </row>
    <row r="17" spans="1:12" s="3" customFormat="1" x14ac:dyDescent="0.3">
      <c r="A17" s="164">
        <v>2025</v>
      </c>
      <c r="B17" s="5" t="s">
        <v>795</v>
      </c>
      <c r="C17" s="85"/>
      <c r="D17" s="92"/>
      <c r="E17" s="93"/>
      <c r="F17" s="95"/>
      <c r="G17" s="94"/>
      <c r="H17" s="94"/>
      <c r="I17" s="89"/>
      <c r="J17" s="96"/>
      <c r="K17" s="80"/>
      <c r="L17" s="83"/>
    </row>
    <row r="18" spans="1:12" s="3" customFormat="1" x14ac:dyDescent="0.3">
      <c r="A18" s="164"/>
      <c r="B18" s="5" t="s">
        <v>798</v>
      </c>
      <c r="C18" s="85"/>
      <c r="D18" s="87"/>
      <c r="E18" s="88"/>
      <c r="F18" s="95"/>
      <c r="G18" s="89"/>
      <c r="H18" s="89"/>
      <c r="I18" s="89"/>
      <c r="J18" s="90"/>
      <c r="K18" s="80"/>
      <c r="L18" s="83"/>
    </row>
    <row r="19" spans="1:12" s="3" customFormat="1" x14ac:dyDescent="0.3">
      <c r="A19" s="164"/>
      <c r="B19" s="5" t="s">
        <v>892</v>
      </c>
      <c r="C19" s="85"/>
      <c r="D19" s="87"/>
      <c r="E19" s="88"/>
      <c r="F19" s="95"/>
      <c r="G19" s="89"/>
      <c r="H19" s="89"/>
      <c r="I19" s="89"/>
      <c r="J19" s="90"/>
      <c r="K19" s="91"/>
      <c r="L19" s="83"/>
    </row>
    <row r="20" spans="1:12" s="3" customFormat="1" x14ac:dyDescent="0.3">
      <c r="A20" s="164"/>
      <c r="B20" s="5" t="s">
        <v>804</v>
      </c>
      <c r="C20" s="85"/>
      <c r="D20" s="87"/>
      <c r="E20" s="88"/>
      <c r="F20" s="95"/>
      <c r="G20" s="89"/>
      <c r="H20" s="89"/>
      <c r="I20" s="89"/>
      <c r="J20" s="90"/>
      <c r="K20" s="91"/>
      <c r="L20" s="83"/>
    </row>
    <row r="21" spans="1:12" s="3" customFormat="1" x14ac:dyDescent="0.3">
      <c r="A21" s="164"/>
      <c r="B21" s="5" t="s">
        <v>806</v>
      </c>
      <c r="C21" s="85"/>
      <c r="D21" s="87"/>
      <c r="E21" s="88"/>
      <c r="F21" s="95"/>
      <c r="G21" s="89"/>
      <c r="H21" s="97"/>
      <c r="I21" s="89"/>
      <c r="J21" s="90"/>
      <c r="K21" s="80"/>
      <c r="L21" s="101"/>
    </row>
    <row r="22" spans="1:12" s="3" customFormat="1" x14ac:dyDescent="0.3">
      <c r="A22" s="164"/>
      <c r="B22" s="5" t="s">
        <v>808</v>
      </c>
      <c r="C22" s="85"/>
      <c r="D22" s="87"/>
      <c r="E22" s="88"/>
      <c r="F22" s="100"/>
      <c r="G22" s="89"/>
      <c r="H22" s="89"/>
      <c r="I22" s="89"/>
      <c r="J22" s="90"/>
      <c r="K22" s="80"/>
      <c r="L22" s="83"/>
    </row>
    <row r="23" spans="1:12" s="3" customFormat="1" x14ac:dyDescent="0.3">
      <c r="A23" s="164"/>
      <c r="B23" s="5" t="s">
        <v>811</v>
      </c>
      <c r="C23" s="85"/>
      <c r="D23" s="87"/>
      <c r="E23" s="88"/>
      <c r="F23" s="95"/>
      <c r="G23" s="102"/>
      <c r="H23" s="152"/>
      <c r="I23" s="89"/>
      <c r="J23" s="90"/>
      <c r="K23" s="80"/>
      <c r="L23" s="101"/>
    </row>
    <row r="24" spans="1:12" s="3" customFormat="1" x14ac:dyDescent="0.3">
      <c r="A24" s="164"/>
      <c r="B24" s="5" t="s">
        <v>814</v>
      </c>
      <c r="C24" s="85"/>
      <c r="D24" s="87"/>
      <c r="E24" s="88"/>
      <c r="F24" s="95"/>
      <c r="G24" s="89"/>
      <c r="H24" s="152"/>
      <c r="I24" s="89"/>
      <c r="J24" s="90"/>
      <c r="K24" s="80"/>
      <c r="L24" s="103"/>
    </row>
    <row r="25" spans="1:12" s="3" customFormat="1" x14ac:dyDescent="0.3">
      <c r="A25" s="164"/>
      <c r="B25" s="5" t="s">
        <v>817</v>
      </c>
      <c r="C25" s="85"/>
      <c r="D25" s="87"/>
      <c r="E25" s="88"/>
      <c r="F25" s="95"/>
      <c r="G25" s="89"/>
      <c r="H25" s="152"/>
      <c r="I25" s="89"/>
      <c r="J25" s="90"/>
      <c r="K25" s="91"/>
      <c r="L25" s="103"/>
    </row>
    <row r="26" spans="1:12" s="3" customFormat="1" x14ac:dyDescent="0.3">
      <c r="A26" s="164"/>
      <c r="B26" s="5" t="s">
        <v>820</v>
      </c>
      <c r="C26" s="85"/>
      <c r="D26" s="87"/>
      <c r="E26" s="88"/>
      <c r="F26" s="95"/>
      <c r="G26" s="98"/>
      <c r="H26" s="89"/>
      <c r="I26" s="89"/>
      <c r="J26" s="90"/>
      <c r="K26" s="80"/>
      <c r="L26" s="103"/>
    </row>
    <row r="27" spans="1:12" s="3" customFormat="1" x14ac:dyDescent="0.3">
      <c r="A27" s="164"/>
      <c r="B27" s="5" t="s">
        <v>893</v>
      </c>
      <c r="C27" s="85"/>
      <c r="D27" s="99"/>
      <c r="E27" s="86"/>
      <c r="F27" s="99"/>
      <c r="G27" s="99"/>
      <c r="H27" s="84"/>
      <c r="I27" s="84"/>
      <c r="J27" s="84"/>
      <c r="K27" s="84"/>
      <c r="L27" s="99"/>
    </row>
    <row r="28" spans="1:12" s="3" customFormat="1" x14ac:dyDescent="0.3">
      <c r="A28" s="164"/>
      <c r="B28" s="5" t="s">
        <v>826</v>
      </c>
      <c r="C28" s="85"/>
      <c r="D28" s="99"/>
      <c r="E28" s="99"/>
      <c r="F28" s="99"/>
      <c r="G28" s="99"/>
      <c r="H28" s="84"/>
      <c r="I28" s="84"/>
      <c r="J28" s="84"/>
      <c r="K28" s="84"/>
      <c r="L28" s="99"/>
    </row>
    <row r="29" spans="1:12" s="3" customFormat="1" x14ac:dyDescent="0.3">
      <c r="A29" s="164"/>
      <c r="B29" s="6" t="s">
        <v>794</v>
      </c>
      <c r="C29" s="82">
        <f>SUM(C17:C28)</f>
        <v>0</v>
      </c>
      <c r="D29" s="82">
        <f t="shared" ref="D29:K29" si="1">SUM(D17:D28)</f>
        <v>0</v>
      </c>
      <c r="E29" s="82">
        <f t="shared" si="1"/>
        <v>0</v>
      </c>
      <c r="F29" s="79">
        <f t="shared" si="1"/>
        <v>0</v>
      </c>
      <c r="G29" s="82">
        <f t="shared" si="1"/>
        <v>0</v>
      </c>
      <c r="H29" s="82">
        <f t="shared" si="1"/>
        <v>0</v>
      </c>
      <c r="I29" s="82">
        <f t="shared" si="1"/>
        <v>0</v>
      </c>
      <c r="J29" s="82">
        <f t="shared" si="1"/>
        <v>0</v>
      </c>
      <c r="K29" s="82">
        <f t="shared" si="1"/>
        <v>0</v>
      </c>
      <c r="L29" s="81">
        <f>SUM(L17:L28)</f>
        <v>0</v>
      </c>
    </row>
    <row r="30" spans="1:12" s="3" customFormat="1" x14ac:dyDescent="0.3">
      <c r="D30" s="4"/>
      <c r="E30" s="4"/>
      <c r="F30" s="4"/>
    </row>
    <row r="31" spans="1:12" s="3" customFormat="1" x14ac:dyDescent="0.3">
      <c r="D31" s="4"/>
      <c r="E31" s="4"/>
      <c r="F31" s="4"/>
    </row>
    <row r="32" spans="1:12" s="3" customFormat="1" x14ac:dyDescent="0.3">
      <c r="D32" s="4"/>
      <c r="E32" s="4"/>
      <c r="F32" s="4"/>
    </row>
  </sheetData>
  <mergeCells count="2">
    <mergeCell ref="A4:A16"/>
    <mergeCell ref="A17:A29"/>
  </mergeCells>
  <pageMargins left="0.7" right="0.7" top="0.75" bottom="0.75" header="0.3" footer="0.3"/>
  <pageSetup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4.4" x14ac:dyDescent="0.3"/>
  <cols>
    <col min="2" max="2" width="14.109375" customWidth="1"/>
    <col min="3" max="3" width="15.44140625" customWidth="1"/>
    <col min="4" max="4" width="18.109375" customWidth="1"/>
    <col min="7" max="39" width="15.44140625" style="21" customWidth="1"/>
  </cols>
  <sheetData>
    <row r="1" spans="1:39" x14ac:dyDescent="0.3">
      <c r="A1">
        <v>1</v>
      </c>
    </row>
    <row r="2" spans="1:39" ht="21" x14ac:dyDescent="0.3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3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3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3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3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3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3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3">
      <c r="B9" s="13" t="s">
        <v>566</v>
      </c>
      <c r="C9" s="13" t="s">
        <v>568</v>
      </c>
      <c r="D9" s="13" t="s">
        <v>567</v>
      </c>
    </row>
    <row r="10" spans="1:39" x14ac:dyDescent="0.3">
      <c r="B10" s="5" t="s">
        <v>40</v>
      </c>
      <c r="C10" s="8" t="s">
        <v>248</v>
      </c>
      <c r="D10" s="5" t="s">
        <v>434</v>
      </c>
      <c r="E10" s="14"/>
    </row>
    <row r="11" spans="1:39" ht="21" x14ac:dyDescent="0.3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3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3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3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3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3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3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43.2" x14ac:dyDescent="0.3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3">
      <c r="B19" s="5" t="s">
        <v>49</v>
      </c>
      <c r="C19" s="5" t="s">
        <v>256</v>
      </c>
      <c r="D19" s="5" t="s">
        <v>442</v>
      </c>
      <c r="E19" s="14"/>
    </row>
    <row r="20" spans="2:39" x14ac:dyDescent="0.3">
      <c r="B20" s="5" t="s">
        <v>50</v>
      </c>
      <c r="C20" s="5" t="s">
        <v>257</v>
      </c>
      <c r="D20" s="5" t="s">
        <v>443</v>
      </c>
      <c r="E20" s="14"/>
    </row>
    <row r="21" spans="2:39" ht="21" x14ac:dyDescent="0.3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3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3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3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3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3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3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57.6" x14ac:dyDescent="0.3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3">
      <c r="B29" s="5" t="s">
        <v>57</v>
      </c>
      <c r="C29" s="5" t="s">
        <v>265</v>
      </c>
      <c r="D29" s="5" t="s">
        <v>451</v>
      </c>
      <c r="E29" s="14"/>
    </row>
    <row r="30" spans="2:39" x14ac:dyDescent="0.3">
      <c r="B30" s="5" t="s">
        <v>58</v>
      </c>
      <c r="C30" s="5" t="s">
        <v>266</v>
      </c>
      <c r="D30" s="5" t="s">
        <v>452</v>
      </c>
      <c r="E30" s="14"/>
    </row>
    <row r="31" spans="2:39" x14ac:dyDescent="0.3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3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3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3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3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3">
      <c r="B36" s="5" t="s">
        <v>63</v>
      </c>
      <c r="C36" s="5" t="s">
        <v>272</v>
      </c>
      <c r="D36" s="5" t="s">
        <v>458</v>
      </c>
      <c r="E36" s="14"/>
    </row>
    <row r="37" spans="2:7" x14ac:dyDescent="0.3">
      <c r="B37" s="5" t="s">
        <v>64</v>
      </c>
      <c r="C37" s="5" t="s">
        <v>273</v>
      </c>
      <c r="D37" s="5" t="s">
        <v>459</v>
      </c>
      <c r="E37" s="14"/>
    </row>
    <row r="38" spans="2:7" x14ac:dyDescent="0.3">
      <c r="B38" s="5" t="s">
        <v>65</v>
      </c>
      <c r="C38" s="5" t="s">
        <v>274</v>
      </c>
      <c r="D38" s="5" t="s">
        <v>460</v>
      </c>
      <c r="E38" s="14"/>
    </row>
    <row r="39" spans="2:7" x14ac:dyDescent="0.3">
      <c r="B39" s="5" t="s">
        <v>66</v>
      </c>
      <c r="C39" s="5" t="s">
        <v>275</v>
      </c>
      <c r="D39" s="5" t="s">
        <v>275</v>
      </c>
      <c r="E39" s="14"/>
    </row>
    <row r="40" spans="2:7" x14ac:dyDescent="0.3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3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3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3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3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3">
      <c r="B45" s="5" t="s">
        <v>72</v>
      </c>
      <c r="C45" s="5" t="s">
        <v>280</v>
      </c>
      <c r="D45" s="5" t="s">
        <v>466</v>
      </c>
      <c r="E45" s="14"/>
    </row>
    <row r="46" spans="2:7" x14ac:dyDescent="0.3">
      <c r="B46" s="5" t="s">
        <v>73</v>
      </c>
      <c r="C46" s="5" t="s">
        <v>281</v>
      </c>
      <c r="D46" s="5" t="s">
        <v>467</v>
      </c>
      <c r="E46" s="14"/>
    </row>
    <row r="47" spans="2:7" x14ac:dyDescent="0.3">
      <c r="B47" s="5" t="s">
        <v>74</v>
      </c>
      <c r="C47" s="5" t="s">
        <v>282</v>
      </c>
      <c r="D47" s="5" t="s">
        <v>468</v>
      </c>
      <c r="E47" s="14"/>
    </row>
    <row r="48" spans="2:7" x14ac:dyDescent="0.3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3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3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3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3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3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3">
      <c r="B54" s="5" t="s">
        <v>80</v>
      </c>
      <c r="C54" s="5" t="s">
        <v>288</v>
      </c>
      <c r="D54" s="5" t="s">
        <v>474</v>
      </c>
      <c r="E54" s="14"/>
    </row>
    <row r="55" spans="2:5" x14ac:dyDescent="0.3">
      <c r="B55" s="5" t="s">
        <v>81</v>
      </c>
      <c r="C55" s="5" t="s">
        <v>289</v>
      </c>
      <c r="D55" s="5" t="s">
        <v>475</v>
      </c>
      <c r="E55" s="14"/>
    </row>
    <row r="56" spans="2:5" x14ac:dyDescent="0.3">
      <c r="B56" s="5" t="s">
        <v>82</v>
      </c>
      <c r="C56" s="5" t="s">
        <v>290</v>
      </c>
      <c r="D56" s="5" t="s">
        <v>476</v>
      </c>
      <c r="E56" s="14"/>
    </row>
    <row r="57" spans="2:5" x14ac:dyDescent="0.3">
      <c r="B57" s="5" t="s">
        <v>83</v>
      </c>
      <c r="C57" s="5" t="s">
        <v>291</v>
      </c>
      <c r="D57" s="5" t="s">
        <v>477</v>
      </c>
      <c r="E57" s="14"/>
    </row>
    <row r="58" spans="2:5" x14ac:dyDescent="0.3">
      <c r="B58" s="5" t="s">
        <v>84</v>
      </c>
      <c r="C58" s="5" t="s">
        <v>292</v>
      </c>
      <c r="D58" s="5" t="s">
        <v>478</v>
      </c>
      <c r="E58" s="14"/>
    </row>
    <row r="59" spans="2:5" x14ac:dyDescent="0.3">
      <c r="B59" s="5" t="s">
        <v>85</v>
      </c>
      <c r="C59" s="5" t="s">
        <v>293</v>
      </c>
      <c r="D59" s="5" t="s">
        <v>479</v>
      </c>
      <c r="E59" s="14"/>
    </row>
    <row r="60" spans="2:5" x14ac:dyDescent="0.3">
      <c r="B60" s="5" t="s">
        <v>86</v>
      </c>
      <c r="C60" s="5" t="s">
        <v>294</v>
      </c>
      <c r="D60" s="5" t="s">
        <v>480</v>
      </c>
      <c r="E60" s="14"/>
    </row>
    <row r="61" spans="2:5" x14ac:dyDescent="0.3">
      <c r="B61" s="6" t="s">
        <v>6</v>
      </c>
      <c r="C61" s="6" t="s">
        <v>295</v>
      </c>
      <c r="D61" s="6" t="s">
        <v>481</v>
      </c>
      <c r="E61" s="15"/>
    </row>
    <row r="62" spans="2:5" x14ac:dyDescent="0.3">
      <c r="B62" s="5" t="s">
        <v>87</v>
      </c>
      <c r="C62" s="5" t="s">
        <v>296</v>
      </c>
      <c r="D62" s="5" t="s">
        <v>482</v>
      </c>
      <c r="E62" s="14"/>
    </row>
    <row r="63" spans="2:5" x14ac:dyDescent="0.3">
      <c r="B63" s="5" t="s">
        <v>88</v>
      </c>
      <c r="C63" s="5" t="s">
        <v>297</v>
      </c>
      <c r="D63" s="5" t="s">
        <v>483</v>
      </c>
      <c r="E63" s="14"/>
    </row>
    <row r="64" spans="2:5" x14ac:dyDescent="0.3">
      <c r="B64" s="5" t="s">
        <v>89</v>
      </c>
      <c r="C64" s="5" t="s">
        <v>298</v>
      </c>
      <c r="D64" s="5" t="s">
        <v>484</v>
      </c>
      <c r="E64" s="14"/>
    </row>
    <row r="65" spans="2:5" x14ac:dyDescent="0.3">
      <c r="B65" s="5" t="s">
        <v>90</v>
      </c>
      <c r="C65" s="5" t="s">
        <v>299</v>
      </c>
      <c r="D65" s="5" t="s">
        <v>299</v>
      </c>
      <c r="E65" s="14"/>
    </row>
    <row r="66" spans="2:5" x14ac:dyDescent="0.3">
      <c r="B66" s="5" t="s">
        <v>91</v>
      </c>
      <c r="C66" s="5" t="s">
        <v>91</v>
      </c>
      <c r="D66" s="5" t="s">
        <v>485</v>
      </c>
      <c r="E66" s="14"/>
    </row>
    <row r="67" spans="2:5" x14ac:dyDescent="0.3">
      <c r="B67" s="5" t="s">
        <v>92</v>
      </c>
      <c r="C67" s="5" t="s">
        <v>300</v>
      </c>
      <c r="D67" s="5" t="s">
        <v>486</v>
      </c>
      <c r="E67" s="14"/>
    </row>
    <row r="68" spans="2:5" x14ac:dyDescent="0.3">
      <c r="B68" s="5" t="s">
        <v>93</v>
      </c>
      <c r="C68" s="5" t="s">
        <v>301</v>
      </c>
      <c r="D68" s="5" t="s">
        <v>487</v>
      </c>
      <c r="E68" s="14"/>
    </row>
    <row r="69" spans="2:5" x14ac:dyDescent="0.3">
      <c r="B69" s="5" t="s">
        <v>94</v>
      </c>
      <c r="C69" s="5" t="s">
        <v>302</v>
      </c>
      <c r="D69" s="5" t="s">
        <v>488</v>
      </c>
      <c r="E69" s="14"/>
    </row>
    <row r="70" spans="2:5" x14ac:dyDescent="0.3">
      <c r="B70" s="5" t="s">
        <v>95</v>
      </c>
      <c r="C70" s="5" t="s">
        <v>303</v>
      </c>
      <c r="D70" s="5" t="s">
        <v>489</v>
      </c>
      <c r="E70" s="14"/>
    </row>
    <row r="71" spans="2:5" x14ac:dyDescent="0.3">
      <c r="B71" s="5" t="s">
        <v>96</v>
      </c>
      <c r="C71" s="5" t="s">
        <v>304</v>
      </c>
      <c r="D71" s="5" t="s">
        <v>490</v>
      </c>
      <c r="E71" s="14"/>
    </row>
    <row r="72" spans="2:5" x14ac:dyDescent="0.3">
      <c r="B72" s="5" t="s">
        <v>97</v>
      </c>
      <c r="C72" s="5" t="s">
        <v>305</v>
      </c>
      <c r="D72" s="5" t="s">
        <v>491</v>
      </c>
      <c r="E72" s="14"/>
    </row>
    <row r="73" spans="2:5" x14ac:dyDescent="0.3">
      <c r="B73" s="5" t="s">
        <v>98</v>
      </c>
      <c r="C73" s="5" t="s">
        <v>306</v>
      </c>
      <c r="D73" s="5" t="s">
        <v>492</v>
      </c>
      <c r="E73" s="14"/>
    </row>
    <row r="74" spans="2:5" x14ac:dyDescent="0.3">
      <c r="B74" s="6" t="s">
        <v>5</v>
      </c>
      <c r="C74" s="6" t="s">
        <v>307</v>
      </c>
      <c r="D74" s="6" t="s">
        <v>493</v>
      </c>
      <c r="E74" s="15"/>
    </row>
    <row r="75" spans="2:5" x14ac:dyDescent="0.3">
      <c r="B75" s="5" t="s">
        <v>99</v>
      </c>
      <c r="C75" s="5" t="s">
        <v>308</v>
      </c>
      <c r="D75" s="5" t="s">
        <v>494</v>
      </c>
      <c r="E75" s="14"/>
    </row>
    <row r="76" spans="2:5" x14ac:dyDescent="0.3">
      <c r="B76" s="5" t="s">
        <v>100</v>
      </c>
      <c r="C76" s="5" t="s">
        <v>309</v>
      </c>
      <c r="D76" s="5" t="s">
        <v>495</v>
      </c>
      <c r="E76" s="14"/>
    </row>
    <row r="77" spans="2:5" x14ac:dyDescent="0.3">
      <c r="B77" s="5" t="s">
        <v>101</v>
      </c>
      <c r="C77" s="5" t="s">
        <v>310</v>
      </c>
      <c r="D77" s="5" t="s">
        <v>496</v>
      </c>
      <c r="E77" s="14"/>
    </row>
    <row r="78" spans="2:5" x14ac:dyDescent="0.3">
      <c r="B78" s="5" t="s">
        <v>102</v>
      </c>
      <c r="C78" s="5" t="s">
        <v>311</v>
      </c>
      <c r="D78" s="5" t="s">
        <v>311</v>
      </c>
      <c r="E78" s="14"/>
    </row>
    <row r="79" spans="2:5" x14ac:dyDescent="0.3">
      <c r="B79" s="5" t="s">
        <v>103</v>
      </c>
      <c r="C79" s="5" t="s">
        <v>103</v>
      </c>
      <c r="D79" s="5" t="s">
        <v>497</v>
      </c>
      <c r="E79" s="14"/>
    </row>
    <row r="80" spans="2:5" x14ac:dyDescent="0.3">
      <c r="B80" s="5" t="s">
        <v>104</v>
      </c>
      <c r="C80" s="5" t="s">
        <v>312</v>
      </c>
      <c r="D80" s="5" t="s">
        <v>498</v>
      </c>
      <c r="E80" s="14"/>
    </row>
    <row r="81" spans="2:5" x14ac:dyDescent="0.3">
      <c r="B81" s="5" t="s">
        <v>105</v>
      </c>
      <c r="C81" s="5" t="s">
        <v>313</v>
      </c>
      <c r="D81" s="5" t="s">
        <v>499</v>
      </c>
      <c r="E81" s="14"/>
    </row>
    <row r="82" spans="2:5" x14ac:dyDescent="0.3">
      <c r="B82" s="5" t="s">
        <v>106</v>
      </c>
      <c r="C82" s="5" t="s">
        <v>314</v>
      </c>
      <c r="D82" s="5" t="s">
        <v>500</v>
      </c>
      <c r="E82" s="14"/>
    </row>
    <row r="83" spans="2:5" x14ac:dyDescent="0.3">
      <c r="B83" s="5" t="s">
        <v>107</v>
      </c>
      <c r="C83" s="5" t="s">
        <v>315</v>
      </c>
      <c r="D83" s="5" t="s">
        <v>501</v>
      </c>
      <c r="E83" s="14"/>
    </row>
    <row r="84" spans="2:5" x14ac:dyDescent="0.3">
      <c r="B84" s="5" t="s">
        <v>108</v>
      </c>
      <c r="C84" s="5" t="s">
        <v>316</v>
      </c>
      <c r="D84" s="5" t="s">
        <v>502</v>
      </c>
      <c r="E84" s="14"/>
    </row>
    <row r="85" spans="2:5" x14ac:dyDescent="0.3">
      <c r="B85" s="5" t="s">
        <v>109</v>
      </c>
      <c r="C85" s="5" t="s">
        <v>317</v>
      </c>
      <c r="D85" s="5" t="s">
        <v>503</v>
      </c>
      <c r="E85" s="14"/>
    </row>
    <row r="86" spans="2:5" x14ac:dyDescent="0.3">
      <c r="B86" s="5" t="s">
        <v>110</v>
      </c>
      <c r="C86" s="5" t="s">
        <v>318</v>
      </c>
      <c r="D86" s="5" t="s">
        <v>504</v>
      </c>
      <c r="E86" s="14"/>
    </row>
    <row r="87" spans="2:5" x14ac:dyDescent="0.3">
      <c r="B87" s="6" t="s">
        <v>187</v>
      </c>
      <c r="C87" s="6" t="s">
        <v>319</v>
      </c>
      <c r="D87" s="6" t="s">
        <v>505</v>
      </c>
      <c r="E87" s="15"/>
    </row>
    <row r="88" spans="2:5" x14ac:dyDescent="0.3">
      <c r="B88" s="5" t="s">
        <v>111</v>
      </c>
      <c r="C88" s="5" t="s">
        <v>320</v>
      </c>
      <c r="D88" s="5" t="s">
        <v>506</v>
      </c>
      <c r="E88" s="14"/>
    </row>
    <row r="89" spans="2:5" x14ac:dyDescent="0.3">
      <c r="B89" s="5" t="s">
        <v>112</v>
      </c>
      <c r="C89" s="5" t="s">
        <v>321</v>
      </c>
      <c r="D89" s="5" t="s">
        <v>507</v>
      </c>
      <c r="E89" s="14"/>
    </row>
    <row r="90" spans="2:5" x14ac:dyDescent="0.3">
      <c r="B90" s="5" t="s">
        <v>113</v>
      </c>
      <c r="C90" s="5" t="s">
        <v>322</v>
      </c>
      <c r="D90" s="5" t="s">
        <v>508</v>
      </c>
      <c r="E90" s="14"/>
    </row>
    <row r="91" spans="2:5" x14ac:dyDescent="0.3">
      <c r="B91" s="5" t="s">
        <v>114</v>
      </c>
      <c r="C91" s="5" t="s">
        <v>323</v>
      </c>
      <c r="D91" s="5" t="s">
        <v>323</v>
      </c>
      <c r="E91" s="14"/>
    </row>
    <row r="92" spans="2:5" x14ac:dyDescent="0.3">
      <c r="B92" s="5" t="s">
        <v>115</v>
      </c>
      <c r="C92" s="5" t="s">
        <v>115</v>
      </c>
      <c r="D92" s="5" t="s">
        <v>509</v>
      </c>
      <c r="E92" s="14"/>
    </row>
    <row r="93" spans="2:5" x14ac:dyDescent="0.3">
      <c r="B93" s="5" t="s">
        <v>116</v>
      </c>
      <c r="C93" s="5" t="s">
        <v>324</v>
      </c>
      <c r="D93" s="5" t="s">
        <v>510</v>
      </c>
      <c r="E93" s="14"/>
    </row>
    <row r="94" spans="2:5" x14ac:dyDescent="0.3">
      <c r="B94" s="5" t="s">
        <v>117</v>
      </c>
      <c r="C94" s="5" t="s">
        <v>325</v>
      </c>
      <c r="D94" s="5" t="s">
        <v>511</v>
      </c>
      <c r="E94" s="14"/>
    </row>
    <row r="95" spans="2:5" x14ac:dyDescent="0.3">
      <c r="B95" s="5" t="s">
        <v>118</v>
      </c>
      <c r="C95" s="5" t="s">
        <v>326</v>
      </c>
      <c r="D95" s="5" t="s">
        <v>512</v>
      </c>
      <c r="E95" s="14"/>
    </row>
    <row r="96" spans="2:5" x14ac:dyDescent="0.3">
      <c r="B96" s="5" t="s">
        <v>119</v>
      </c>
      <c r="C96" s="5" t="s">
        <v>327</v>
      </c>
      <c r="D96" s="5" t="s">
        <v>513</v>
      </c>
      <c r="E96" s="14"/>
    </row>
    <row r="97" spans="2:5" x14ac:dyDescent="0.3">
      <c r="B97" s="5" t="s">
        <v>120</v>
      </c>
      <c r="C97" s="5" t="s">
        <v>328</v>
      </c>
      <c r="D97" s="5" t="s">
        <v>514</v>
      </c>
      <c r="E97" s="14"/>
    </row>
    <row r="98" spans="2:5" x14ac:dyDescent="0.3">
      <c r="B98" s="5" t="s">
        <v>121</v>
      </c>
      <c r="C98" s="5" t="s">
        <v>329</v>
      </c>
      <c r="D98" s="5" t="s">
        <v>515</v>
      </c>
      <c r="E98" s="14"/>
    </row>
    <row r="99" spans="2:5" x14ac:dyDescent="0.3">
      <c r="B99" s="5" t="s">
        <v>122</v>
      </c>
      <c r="C99" s="5" t="s">
        <v>330</v>
      </c>
      <c r="D99" s="5" t="s">
        <v>516</v>
      </c>
      <c r="E99" s="14"/>
    </row>
    <row r="100" spans="2:5" x14ac:dyDescent="0.3">
      <c r="B100" s="6" t="s">
        <v>186</v>
      </c>
      <c r="C100" s="6" t="s">
        <v>331</v>
      </c>
      <c r="D100" s="6" t="s">
        <v>517</v>
      </c>
      <c r="E100" s="15"/>
    </row>
    <row r="101" spans="2:5" x14ac:dyDescent="0.3">
      <c r="B101" s="5" t="s">
        <v>123</v>
      </c>
      <c r="C101" s="5" t="s">
        <v>332</v>
      </c>
      <c r="D101" s="5" t="s">
        <v>518</v>
      </c>
      <c r="E101" s="14"/>
    </row>
    <row r="102" spans="2:5" x14ac:dyDescent="0.3">
      <c r="B102" s="5" t="s">
        <v>124</v>
      </c>
      <c r="C102" s="5" t="s">
        <v>333</v>
      </c>
      <c r="D102" s="5" t="s">
        <v>519</v>
      </c>
      <c r="E102" s="14"/>
    </row>
    <row r="103" spans="2:5" x14ac:dyDescent="0.3">
      <c r="B103" s="5" t="s">
        <v>125</v>
      </c>
      <c r="C103" s="5" t="s">
        <v>334</v>
      </c>
      <c r="D103" s="5" t="s">
        <v>520</v>
      </c>
      <c r="E103" s="14"/>
    </row>
    <row r="104" spans="2:5" x14ac:dyDescent="0.3">
      <c r="B104" s="5" t="s">
        <v>126</v>
      </c>
      <c r="C104" s="5" t="s">
        <v>335</v>
      </c>
      <c r="D104" s="5" t="s">
        <v>335</v>
      </c>
      <c r="E104" s="14"/>
    </row>
    <row r="105" spans="2:5" x14ac:dyDescent="0.3">
      <c r="B105" s="5" t="s">
        <v>127</v>
      </c>
      <c r="C105" s="5" t="s">
        <v>127</v>
      </c>
      <c r="D105" s="5" t="s">
        <v>521</v>
      </c>
      <c r="E105" s="14"/>
    </row>
    <row r="106" spans="2:5" x14ac:dyDescent="0.3">
      <c r="B106" s="5" t="s">
        <v>128</v>
      </c>
      <c r="C106" s="5" t="s">
        <v>336</v>
      </c>
      <c r="D106" s="5" t="s">
        <v>522</v>
      </c>
      <c r="E106" s="14"/>
    </row>
    <row r="107" spans="2:5" x14ac:dyDescent="0.3">
      <c r="B107" s="5" t="s">
        <v>129</v>
      </c>
      <c r="C107" s="5" t="s">
        <v>337</v>
      </c>
      <c r="D107" s="5" t="s">
        <v>523</v>
      </c>
      <c r="E107" s="14"/>
    </row>
    <row r="108" spans="2:5" x14ac:dyDescent="0.3">
      <c r="B108" s="5" t="s">
        <v>130</v>
      </c>
      <c r="C108" s="5" t="s">
        <v>338</v>
      </c>
      <c r="D108" s="5" t="s">
        <v>524</v>
      </c>
      <c r="E108" s="14"/>
    </row>
    <row r="109" spans="2:5" x14ac:dyDescent="0.3">
      <c r="B109" s="5" t="s">
        <v>131</v>
      </c>
      <c r="C109" s="5" t="s">
        <v>339</v>
      </c>
      <c r="D109" s="5" t="s">
        <v>525</v>
      </c>
      <c r="E109" s="14"/>
    </row>
    <row r="110" spans="2:5" x14ac:dyDescent="0.3">
      <c r="B110" s="5" t="s">
        <v>132</v>
      </c>
      <c r="C110" s="5" t="s">
        <v>340</v>
      </c>
      <c r="D110" s="5" t="s">
        <v>526</v>
      </c>
      <c r="E110" s="14"/>
    </row>
    <row r="111" spans="2:5" x14ac:dyDescent="0.3">
      <c r="B111" s="5" t="s">
        <v>133</v>
      </c>
      <c r="C111" s="5" t="s">
        <v>341</v>
      </c>
      <c r="D111" s="5" t="s">
        <v>527</v>
      </c>
      <c r="E111" s="14"/>
    </row>
    <row r="112" spans="2:5" x14ac:dyDescent="0.3">
      <c r="B112" s="5" t="s">
        <v>134</v>
      </c>
      <c r="C112" s="5" t="s">
        <v>342</v>
      </c>
      <c r="D112" s="5" t="s">
        <v>528</v>
      </c>
      <c r="E112" s="14"/>
    </row>
    <row r="113" spans="2:5" x14ac:dyDescent="0.3">
      <c r="B113" s="6" t="s">
        <v>188</v>
      </c>
      <c r="C113" s="6" t="s">
        <v>343</v>
      </c>
      <c r="D113" s="6" t="s">
        <v>529</v>
      </c>
      <c r="E113" s="15"/>
    </row>
    <row r="114" spans="2:5" x14ac:dyDescent="0.3">
      <c r="B114" s="5" t="s">
        <v>135</v>
      </c>
      <c r="C114" s="5" t="s">
        <v>344</v>
      </c>
      <c r="D114" s="5" t="s">
        <v>530</v>
      </c>
      <c r="E114" s="14"/>
    </row>
    <row r="115" spans="2:5" x14ac:dyDescent="0.3">
      <c r="B115" s="5" t="s">
        <v>136</v>
      </c>
      <c r="C115" s="5" t="s">
        <v>345</v>
      </c>
      <c r="D115" s="5" t="s">
        <v>531</v>
      </c>
      <c r="E115" s="14"/>
    </row>
    <row r="116" spans="2:5" x14ac:dyDescent="0.3">
      <c r="B116" s="5" t="s">
        <v>137</v>
      </c>
      <c r="C116" s="5" t="s">
        <v>346</v>
      </c>
      <c r="D116" s="5" t="s">
        <v>532</v>
      </c>
      <c r="E116" s="14"/>
    </row>
    <row r="117" spans="2:5" x14ac:dyDescent="0.3">
      <c r="B117" s="5" t="s">
        <v>138</v>
      </c>
      <c r="C117" s="5" t="s">
        <v>347</v>
      </c>
      <c r="D117" s="5" t="s">
        <v>347</v>
      </c>
      <c r="E117" s="14"/>
    </row>
    <row r="118" spans="2:5" x14ac:dyDescent="0.3">
      <c r="B118" s="5" t="s">
        <v>139</v>
      </c>
      <c r="C118" s="5" t="s">
        <v>139</v>
      </c>
      <c r="D118" s="5" t="s">
        <v>533</v>
      </c>
      <c r="E118" s="14"/>
    </row>
    <row r="119" spans="2:5" x14ac:dyDescent="0.3">
      <c r="B119" s="5" t="s">
        <v>140</v>
      </c>
      <c r="C119" s="5" t="s">
        <v>348</v>
      </c>
      <c r="D119" s="5" t="s">
        <v>534</v>
      </c>
      <c r="E119" s="14"/>
    </row>
    <row r="120" spans="2:5" x14ac:dyDescent="0.3">
      <c r="B120" s="5" t="s">
        <v>141</v>
      </c>
      <c r="C120" s="5" t="s">
        <v>349</v>
      </c>
      <c r="D120" s="5" t="s">
        <v>535</v>
      </c>
      <c r="E120" s="14"/>
    </row>
    <row r="121" spans="2:5" x14ac:dyDescent="0.3">
      <c r="B121" s="5" t="s">
        <v>142</v>
      </c>
      <c r="C121" s="5" t="s">
        <v>350</v>
      </c>
      <c r="D121" s="5" t="s">
        <v>536</v>
      </c>
      <c r="E121" s="14"/>
    </row>
    <row r="122" spans="2:5" x14ac:dyDescent="0.3">
      <c r="B122" s="5" t="s">
        <v>143</v>
      </c>
      <c r="C122" s="5" t="s">
        <v>351</v>
      </c>
      <c r="D122" s="5" t="s">
        <v>537</v>
      </c>
      <c r="E122" s="14"/>
    </row>
    <row r="123" spans="2:5" x14ac:dyDescent="0.3">
      <c r="B123" s="5" t="s">
        <v>144</v>
      </c>
      <c r="C123" s="5" t="s">
        <v>352</v>
      </c>
      <c r="D123" s="5" t="s">
        <v>538</v>
      </c>
      <c r="E123" s="14"/>
    </row>
    <row r="124" spans="2:5" x14ac:dyDescent="0.3">
      <c r="B124" s="5" t="s">
        <v>145</v>
      </c>
      <c r="C124" s="5" t="s">
        <v>353</v>
      </c>
      <c r="D124" s="5" t="s">
        <v>539</v>
      </c>
      <c r="E124" s="14"/>
    </row>
    <row r="125" spans="2:5" x14ac:dyDescent="0.3">
      <c r="B125" s="5" t="s">
        <v>146</v>
      </c>
      <c r="C125" s="5" t="s">
        <v>354</v>
      </c>
      <c r="D125" s="5" t="s">
        <v>540</v>
      </c>
      <c r="E125" s="14"/>
    </row>
    <row r="126" spans="2:5" x14ac:dyDescent="0.3">
      <c r="B126" s="6" t="s">
        <v>191</v>
      </c>
      <c r="C126" s="6" t="s">
        <v>355</v>
      </c>
      <c r="D126" s="6" t="s">
        <v>541</v>
      </c>
      <c r="E126" s="15"/>
    </row>
    <row r="127" spans="2:5" x14ac:dyDescent="0.3">
      <c r="B127" s="5" t="s">
        <v>147</v>
      </c>
      <c r="C127" s="5" t="s">
        <v>356</v>
      </c>
      <c r="D127" s="5" t="s">
        <v>542</v>
      </c>
      <c r="E127" s="14"/>
    </row>
    <row r="128" spans="2:5" x14ac:dyDescent="0.3">
      <c r="B128" s="5" t="s">
        <v>148</v>
      </c>
      <c r="C128" s="5" t="s">
        <v>357</v>
      </c>
      <c r="D128" s="5" t="s">
        <v>543</v>
      </c>
      <c r="E128" s="14"/>
    </row>
    <row r="129" spans="2:5" x14ac:dyDescent="0.3">
      <c r="B129" s="5" t="s">
        <v>149</v>
      </c>
      <c r="C129" s="5" t="s">
        <v>358</v>
      </c>
      <c r="D129" s="5" t="s">
        <v>544</v>
      </c>
      <c r="E129" s="14"/>
    </row>
    <row r="130" spans="2:5" x14ac:dyDescent="0.3">
      <c r="B130" s="5" t="s">
        <v>150</v>
      </c>
      <c r="C130" s="5" t="s">
        <v>359</v>
      </c>
      <c r="D130" s="5" t="s">
        <v>359</v>
      </c>
      <c r="E130" s="14"/>
    </row>
    <row r="131" spans="2:5" x14ac:dyDescent="0.3">
      <c r="B131" s="5" t="s">
        <v>151</v>
      </c>
      <c r="C131" s="5" t="s">
        <v>151</v>
      </c>
      <c r="D131" s="5" t="s">
        <v>545</v>
      </c>
      <c r="E131" s="14"/>
    </row>
    <row r="132" spans="2:5" x14ac:dyDescent="0.3">
      <c r="B132" s="5" t="s">
        <v>152</v>
      </c>
      <c r="C132" s="5" t="s">
        <v>360</v>
      </c>
      <c r="D132" s="5" t="s">
        <v>546</v>
      </c>
      <c r="E132" s="14"/>
    </row>
    <row r="133" spans="2:5" x14ac:dyDescent="0.3">
      <c r="B133" s="5" t="s">
        <v>153</v>
      </c>
      <c r="C133" s="5" t="s">
        <v>361</v>
      </c>
      <c r="D133" s="5" t="s">
        <v>547</v>
      </c>
      <c r="E133" s="14"/>
    </row>
    <row r="134" spans="2:5" x14ac:dyDescent="0.3">
      <c r="B134" s="5" t="s">
        <v>154</v>
      </c>
      <c r="C134" s="5" t="s">
        <v>362</v>
      </c>
      <c r="D134" s="5" t="s">
        <v>548</v>
      </c>
      <c r="E134" s="14"/>
    </row>
    <row r="135" spans="2:5" x14ac:dyDescent="0.3">
      <c r="B135" s="5" t="s">
        <v>155</v>
      </c>
      <c r="C135" s="5" t="s">
        <v>363</v>
      </c>
      <c r="D135" s="5" t="s">
        <v>549</v>
      </c>
      <c r="E135" s="14"/>
    </row>
    <row r="136" spans="2:5" x14ac:dyDescent="0.3">
      <c r="B136" s="5" t="s">
        <v>156</v>
      </c>
      <c r="C136" s="5" t="s">
        <v>364</v>
      </c>
      <c r="D136" s="5" t="s">
        <v>550</v>
      </c>
      <c r="E136" s="14"/>
    </row>
    <row r="137" spans="2:5" x14ac:dyDescent="0.3">
      <c r="B137" s="5" t="s">
        <v>157</v>
      </c>
      <c r="C137" s="5" t="s">
        <v>365</v>
      </c>
      <c r="D137" s="5" t="s">
        <v>551</v>
      </c>
      <c r="E137" s="14"/>
    </row>
    <row r="138" spans="2:5" x14ac:dyDescent="0.3">
      <c r="B138" s="5" t="s">
        <v>158</v>
      </c>
      <c r="C138" s="5" t="s">
        <v>366</v>
      </c>
      <c r="D138" s="5" t="s">
        <v>552</v>
      </c>
      <c r="E138" s="14"/>
    </row>
    <row r="139" spans="2:5" x14ac:dyDescent="0.3">
      <c r="B139" s="6" t="s">
        <v>190</v>
      </c>
      <c r="C139" s="6" t="s">
        <v>367</v>
      </c>
      <c r="D139" s="6" t="s">
        <v>553</v>
      </c>
      <c r="E139" s="15"/>
    </row>
    <row r="140" spans="2:5" x14ac:dyDescent="0.3">
      <c r="B140" s="5" t="s">
        <v>159</v>
      </c>
      <c r="C140" s="5" t="s">
        <v>368</v>
      </c>
      <c r="D140" s="5" t="s">
        <v>554</v>
      </c>
      <c r="E140" s="14"/>
    </row>
    <row r="141" spans="2:5" x14ac:dyDescent="0.3">
      <c r="B141" s="5" t="s">
        <v>160</v>
      </c>
      <c r="C141" s="5" t="s">
        <v>369</v>
      </c>
      <c r="D141" s="5" t="s">
        <v>555</v>
      </c>
      <c r="E141" s="14"/>
    </row>
    <row r="142" spans="2:5" x14ac:dyDescent="0.3">
      <c r="B142" s="5" t="s">
        <v>161</v>
      </c>
      <c r="C142" s="5" t="s">
        <v>370</v>
      </c>
      <c r="D142" s="5" t="s">
        <v>556</v>
      </c>
      <c r="E142" s="14"/>
    </row>
    <row r="143" spans="2:5" x14ac:dyDescent="0.3">
      <c r="B143" s="5" t="s">
        <v>162</v>
      </c>
      <c r="C143" s="5" t="s">
        <v>371</v>
      </c>
      <c r="D143" s="5" t="s">
        <v>371</v>
      </c>
      <c r="E143" s="14"/>
    </row>
    <row r="144" spans="2:5" x14ac:dyDescent="0.3">
      <c r="B144" s="5" t="s">
        <v>163</v>
      </c>
      <c r="C144" s="5" t="s">
        <v>163</v>
      </c>
      <c r="D144" s="5" t="s">
        <v>557</v>
      </c>
      <c r="E144" s="14"/>
    </row>
    <row r="145" spans="2:5" x14ac:dyDescent="0.3">
      <c r="B145" s="5" t="s">
        <v>164</v>
      </c>
      <c r="C145" s="5" t="s">
        <v>372</v>
      </c>
      <c r="D145" s="5" t="s">
        <v>558</v>
      </c>
      <c r="E145" s="14"/>
    </row>
    <row r="146" spans="2:5" x14ac:dyDescent="0.3">
      <c r="B146" s="5" t="s">
        <v>165</v>
      </c>
      <c r="C146" s="5" t="s">
        <v>373</v>
      </c>
      <c r="D146" s="5" t="s">
        <v>559</v>
      </c>
      <c r="E146" s="14"/>
    </row>
    <row r="147" spans="2:5" x14ac:dyDescent="0.3">
      <c r="B147" s="5" t="s">
        <v>166</v>
      </c>
      <c r="C147" s="5" t="s">
        <v>374</v>
      </c>
      <c r="D147" s="5" t="s">
        <v>560</v>
      </c>
      <c r="E147" s="14"/>
    </row>
    <row r="148" spans="2:5" x14ac:dyDescent="0.3">
      <c r="B148" s="5" t="s">
        <v>167</v>
      </c>
      <c r="C148" s="5" t="s">
        <v>375</v>
      </c>
      <c r="D148" s="5" t="s">
        <v>561</v>
      </c>
      <c r="E148" s="14"/>
    </row>
    <row r="149" spans="2:5" x14ac:dyDescent="0.3">
      <c r="B149" s="5" t="s">
        <v>194</v>
      </c>
      <c r="C149" s="5" t="s">
        <v>376</v>
      </c>
      <c r="D149" s="5" t="s">
        <v>562</v>
      </c>
      <c r="E149" s="14"/>
    </row>
    <row r="150" spans="2:5" x14ac:dyDescent="0.3">
      <c r="B150" s="5" t="s">
        <v>193</v>
      </c>
      <c r="C150" s="5" t="s">
        <v>377</v>
      </c>
      <c r="D150" s="5" t="s">
        <v>563</v>
      </c>
      <c r="E150" s="14"/>
    </row>
    <row r="151" spans="2:5" x14ac:dyDescent="0.3">
      <c r="B151" s="5" t="s">
        <v>195</v>
      </c>
      <c r="C151" s="5" t="s">
        <v>378</v>
      </c>
      <c r="D151" s="5" t="s">
        <v>564</v>
      </c>
      <c r="E151" s="14"/>
    </row>
    <row r="152" spans="2:5" x14ac:dyDescent="0.3">
      <c r="B152" s="6" t="s">
        <v>189</v>
      </c>
      <c r="C152" s="11" t="s">
        <v>379</v>
      </c>
      <c r="D152" s="6" t="s">
        <v>565</v>
      </c>
      <c r="E152" s="15"/>
    </row>
    <row r="153" spans="2:5" x14ac:dyDescent="0.3">
      <c r="B153" s="5" t="s">
        <v>569</v>
      </c>
      <c r="C153" s="5" t="s">
        <v>570</v>
      </c>
      <c r="D153" s="5" t="s">
        <v>571</v>
      </c>
      <c r="E153" s="3"/>
    </row>
    <row r="154" spans="2:5" x14ac:dyDescent="0.3">
      <c r="B154" s="5" t="s">
        <v>572</v>
      </c>
      <c r="C154" s="5" t="s">
        <v>573</v>
      </c>
      <c r="D154" s="5" t="s">
        <v>574</v>
      </c>
      <c r="E154" s="3"/>
    </row>
    <row r="155" spans="2:5" x14ac:dyDescent="0.3">
      <c r="B155" s="5" t="s">
        <v>575</v>
      </c>
      <c r="C155" s="5" t="s">
        <v>576</v>
      </c>
      <c r="D155" s="5" t="s">
        <v>577</v>
      </c>
      <c r="E155" s="3"/>
    </row>
    <row r="156" spans="2:5" x14ac:dyDescent="0.3">
      <c r="B156" s="5" t="s">
        <v>578</v>
      </c>
      <c r="C156" s="5" t="s">
        <v>579</v>
      </c>
      <c r="D156" s="5" t="s">
        <v>579</v>
      </c>
    </row>
    <row r="157" spans="2:5" x14ac:dyDescent="0.3">
      <c r="B157" s="5" t="s">
        <v>580</v>
      </c>
      <c r="C157" s="5" t="s">
        <v>580</v>
      </c>
      <c r="D157" s="5" t="s">
        <v>581</v>
      </c>
    </row>
    <row r="158" spans="2:5" x14ac:dyDescent="0.3">
      <c r="B158" s="5" t="s">
        <v>582</v>
      </c>
      <c r="C158" s="5" t="s">
        <v>583</v>
      </c>
      <c r="D158" s="5" t="s">
        <v>584</v>
      </c>
    </row>
    <row r="159" spans="2:5" x14ac:dyDescent="0.3">
      <c r="B159" s="5" t="s">
        <v>585</v>
      </c>
      <c r="C159" s="5" t="s">
        <v>586</v>
      </c>
      <c r="D159" s="5" t="s">
        <v>587</v>
      </c>
    </row>
    <row r="160" spans="2:5" x14ac:dyDescent="0.3">
      <c r="B160" s="5" t="s">
        <v>588</v>
      </c>
      <c r="C160" s="5" t="s">
        <v>589</v>
      </c>
      <c r="D160" s="5" t="s">
        <v>590</v>
      </c>
    </row>
    <row r="161" spans="2:4" x14ac:dyDescent="0.3">
      <c r="B161" s="5" t="s">
        <v>591</v>
      </c>
      <c r="C161" s="5" t="s">
        <v>592</v>
      </c>
      <c r="D161" s="5" t="s">
        <v>593</v>
      </c>
    </row>
    <row r="162" spans="2:4" x14ac:dyDescent="0.3">
      <c r="B162" s="5" t="s">
        <v>594</v>
      </c>
      <c r="C162" s="5" t="s">
        <v>595</v>
      </c>
      <c r="D162" s="5" t="s">
        <v>596</v>
      </c>
    </row>
    <row r="163" spans="2:4" x14ac:dyDescent="0.3">
      <c r="B163" s="5" t="s">
        <v>597</v>
      </c>
      <c r="C163" s="5" t="s">
        <v>598</v>
      </c>
      <c r="D163" s="5" t="s">
        <v>599</v>
      </c>
    </row>
    <row r="164" spans="2:4" x14ac:dyDescent="0.3">
      <c r="B164" s="5" t="s">
        <v>600</v>
      </c>
      <c r="C164" s="5" t="s">
        <v>601</v>
      </c>
      <c r="D164" s="5" t="s">
        <v>602</v>
      </c>
    </row>
    <row r="165" spans="2:4" x14ac:dyDescent="0.3">
      <c r="B165" s="6" t="s">
        <v>604</v>
      </c>
      <c r="C165" s="11" t="s">
        <v>605</v>
      </c>
      <c r="D165" s="6" t="s">
        <v>603</v>
      </c>
    </row>
    <row r="166" spans="2:4" x14ac:dyDescent="0.3">
      <c r="B166" s="5" t="s">
        <v>612</v>
      </c>
      <c r="C166" s="5" t="s">
        <v>613</v>
      </c>
      <c r="D166" s="5" t="s">
        <v>614</v>
      </c>
    </row>
    <row r="167" spans="2:4" x14ac:dyDescent="0.3">
      <c r="B167" s="5" t="s">
        <v>615</v>
      </c>
      <c r="C167" s="5" t="s">
        <v>616</v>
      </c>
      <c r="D167" s="5" t="s">
        <v>617</v>
      </c>
    </row>
    <row r="168" spans="2:4" x14ac:dyDescent="0.3">
      <c r="B168" s="5" t="s">
        <v>618</v>
      </c>
      <c r="C168" s="5" t="s">
        <v>619</v>
      </c>
      <c r="D168" s="5" t="s">
        <v>620</v>
      </c>
    </row>
    <row r="169" spans="2:4" x14ac:dyDescent="0.3">
      <c r="B169" s="5" t="s">
        <v>621</v>
      </c>
      <c r="C169" s="5" t="s">
        <v>622</v>
      </c>
      <c r="D169" s="5" t="s">
        <v>622</v>
      </c>
    </row>
    <row r="170" spans="2:4" x14ac:dyDescent="0.3">
      <c r="B170" s="5" t="s">
        <v>623</v>
      </c>
      <c r="C170" s="5" t="s">
        <v>623</v>
      </c>
      <c r="D170" s="5" t="s">
        <v>624</v>
      </c>
    </row>
    <row r="171" spans="2:4" x14ac:dyDescent="0.3">
      <c r="B171" s="5" t="s">
        <v>625</v>
      </c>
      <c r="C171" s="5" t="s">
        <v>626</v>
      </c>
      <c r="D171" s="5" t="s">
        <v>627</v>
      </c>
    </row>
    <row r="172" spans="2:4" x14ac:dyDescent="0.3">
      <c r="B172" s="5" t="s">
        <v>628</v>
      </c>
      <c r="C172" s="5" t="s">
        <v>629</v>
      </c>
      <c r="D172" s="5" t="s">
        <v>630</v>
      </c>
    </row>
    <row r="173" spans="2:4" x14ac:dyDescent="0.3">
      <c r="B173" s="5" t="s">
        <v>631</v>
      </c>
      <c r="C173" s="5" t="s">
        <v>632</v>
      </c>
      <c r="D173" s="5" t="s">
        <v>633</v>
      </c>
    </row>
    <row r="174" spans="2:4" x14ac:dyDescent="0.3">
      <c r="B174" s="5" t="s">
        <v>634</v>
      </c>
      <c r="C174" s="5" t="s">
        <v>635</v>
      </c>
      <c r="D174" s="5" t="s">
        <v>636</v>
      </c>
    </row>
    <row r="175" spans="2:4" x14ac:dyDescent="0.3">
      <c r="B175" s="5" t="s">
        <v>637</v>
      </c>
      <c r="C175" s="5" t="s">
        <v>638</v>
      </c>
      <c r="D175" s="5" t="s">
        <v>639</v>
      </c>
    </row>
    <row r="176" spans="2:4" x14ac:dyDescent="0.3">
      <c r="B176" s="5" t="s">
        <v>640</v>
      </c>
      <c r="C176" s="5" t="s">
        <v>641</v>
      </c>
      <c r="D176" s="5" t="s">
        <v>642</v>
      </c>
    </row>
    <row r="177" spans="1:4" x14ac:dyDescent="0.3">
      <c r="B177" s="5" t="s">
        <v>643</v>
      </c>
      <c r="C177" s="5" t="s">
        <v>644</v>
      </c>
      <c r="D177" s="5" t="s">
        <v>645</v>
      </c>
    </row>
    <row r="178" spans="1:4" x14ac:dyDescent="0.3">
      <c r="B178" s="6" t="s">
        <v>606</v>
      </c>
      <c r="C178" s="11" t="s">
        <v>607</v>
      </c>
      <c r="D178" s="6" t="s">
        <v>608</v>
      </c>
    </row>
    <row r="179" spans="1:4" x14ac:dyDescent="0.3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3">
      <c r="B180" s="5" t="s">
        <v>834</v>
      </c>
      <c r="C180" s="5" t="s">
        <v>835</v>
      </c>
      <c r="D180" s="5" t="s">
        <v>836</v>
      </c>
    </row>
    <row r="181" spans="1:4" x14ac:dyDescent="0.3">
      <c r="B181" s="5" t="s">
        <v>837</v>
      </c>
      <c r="C181" s="5" t="s">
        <v>838</v>
      </c>
      <c r="D181" s="5" t="s">
        <v>839</v>
      </c>
    </row>
    <row r="182" spans="1:4" x14ac:dyDescent="0.3">
      <c r="B182" s="5" t="s">
        <v>840</v>
      </c>
      <c r="C182" s="5" t="s">
        <v>841</v>
      </c>
      <c r="D182" s="5" t="s">
        <v>841</v>
      </c>
    </row>
    <row r="183" spans="1:4" x14ac:dyDescent="0.3">
      <c r="B183" s="5" t="s">
        <v>842</v>
      </c>
      <c r="C183" s="5" t="s">
        <v>842</v>
      </c>
      <c r="D183" s="5" t="s">
        <v>843</v>
      </c>
    </row>
    <row r="184" spans="1:4" x14ac:dyDescent="0.3">
      <c r="B184" s="5" t="s">
        <v>844</v>
      </c>
      <c r="C184" s="5" t="s">
        <v>845</v>
      </c>
      <c r="D184" s="5" t="s">
        <v>846</v>
      </c>
    </row>
    <row r="185" spans="1:4" x14ac:dyDescent="0.3">
      <c r="B185" s="5" t="s">
        <v>847</v>
      </c>
      <c r="C185" s="5" t="s">
        <v>848</v>
      </c>
      <c r="D185" s="5" t="s">
        <v>849</v>
      </c>
    </row>
    <row r="186" spans="1:4" x14ac:dyDescent="0.3">
      <c r="B186" s="5" t="s">
        <v>850</v>
      </c>
      <c r="C186" s="5" t="s">
        <v>851</v>
      </c>
      <c r="D186" s="5" t="s">
        <v>852</v>
      </c>
    </row>
    <row r="187" spans="1:4" x14ac:dyDescent="0.3">
      <c r="B187" s="5" t="s">
        <v>853</v>
      </c>
      <c r="C187" s="5" t="s">
        <v>854</v>
      </c>
      <c r="D187" s="5" t="s">
        <v>855</v>
      </c>
    </row>
    <row r="188" spans="1:4" x14ac:dyDescent="0.3">
      <c r="B188" s="5" t="s">
        <v>856</v>
      </c>
      <c r="C188" s="5" t="s">
        <v>857</v>
      </c>
      <c r="D188" s="5" t="s">
        <v>858</v>
      </c>
    </row>
    <row r="189" spans="1:4" x14ac:dyDescent="0.3">
      <c r="B189" s="5" t="s">
        <v>859</v>
      </c>
      <c r="C189" s="5" t="s">
        <v>860</v>
      </c>
      <c r="D189" s="5" t="s">
        <v>861</v>
      </c>
    </row>
    <row r="190" spans="1:4" x14ac:dyDescent="0.3">
      <c r="B190" s="5" t="s">
        <v>862</v>
      </c>
      <c r="C190" s="5" t="s">
        <v>863</v>
      </c>
      <c r="D190" s="5" t="s">
        <v>864</v>
      </c>
    </row>
    <row r="191" spans="1:4" x14ac:dyDescent="0.3">
      <c r="B191" s="6" t="s">
        <v>865</v>
      </c>
      <c r="C191" s="11" t="s">
        <v>866</v>
      </c>
      <c r="D191" s="6" t="s">
        <v>867</v>
      </c>
    </row>
    <row r="192" spans="1:4" x14ac:dyDescent="0.3">
      <c r="B192" s="5" t="s">
        <v>647</v>
      </c>
      <c r="C192" s="5" t="s">
        <v>648</v>
      </c>
      <c r="D192" s="5" t="s">
        <v>649</v>
      </c>
    </row>
    <row r="193" spans="2:4" x14ac:dyDescent="0.3">
      <c r="B193" s="5" t="s">
        <v>650</v>
      </c>
      <c r="C193" s="5" t="s">
        <v>651</v>
      </c>
      <c r="D193" s="5" t="s">
        <v>652</v>
      </c>
    </row>
    <row r="194" spans="2:4" x14ac:dyDescent="0.3">
      <c r="B194" s="5" t="s">
        <v>653</v>
      </c>
      <c r="C194" s="5" t="s">
        <v>654</v>
      </c>
      <c r="D194" s="5" t="s">
        <v>655</v>
      </c>
    </row>
    <row r="195" spans="2:4" x14ac:dyDescent="0.3">
      <c r="B195" s="5" t="s">
        <v>656</v>
      </c>
      <c r="C195" s="5" t="s">
        <v>657</v>
      </c>
      <c r="D195" s="5" t="s">
        <v>657</v>
      </c>
    </row>
    <row r="196" spans="2:4" x14ac:dyDescent="0.3">
      <c r="B196" s="5" t="s">
        <v>658</v>
      </c>
      <c r="C196" s="5" t="s">
        <v>658</v>
      </c>
      <c r="D196" s="5" t="s">
        <v>659</v>
      </c>
    </row>
    <row r="197" spans="2:4" x14ac:dyDescent="0.3">
      <c r="B197" s="5" t="s">
        <v>660</v>
      </c>
      <c r="C197" s="5" t="s">
        <v>661</v>
      </c>
      <c r="D197" s="5" t="s">
        <v>662</v>
      </c>
    </row>
    <row r="198" spans="2:4" x14ac:dyDescent="0.3">
      <c r="B198" s="5" t="s">
        <v>663</v>
      </c>
      <c r="C198" s="5" t="s">
        <v>664</v>
      </c>
      <c r="D198" s="5" t="s">
        <v>665</v>
      </c>
    </row>
    <row r="199" spans="2:4" x14ac:dyDescent="0.3">
      <c r="B199" s="5" t="s">
        <v>666</v>
      </c>
      <c r="C199" s="5" t="s">
        <v>667</v>
      </c>
      <c r="D199" s="5" t="s">
        <v>668</v>
      </c>
    </row>
    <row r="200" spans="2:4" x14ac:dyDescent="0.3">
      <c r="B200" s="5" t="s">
        <v>669</v>
      </c>
      <c r="C200" s="5" t="s">
        <v>670</v>
      </c>
      <c r="D200" s="5" t="s">
        <v>671</v>
      </c>
    </row>
    <row r="201" spans="2:4" x14ac:dyDescent="0.3">
      <c r="B201" s="5" t="s">
        <v>672</v>
      </c>
      <c r="C201" s="5" t="s">
        <v>673</v>
      </c>
      <c r="D201" s="5" t="s">
        <v>674</v>
      </c>
    </row>
    <row r="202" spans="2:4" x14ac:dyDescent="0.3">
      <c r="B202" s="5" t="s">
        <v>675</v>
      </c>
      <c r="C202" s="5" t="s">
        <v>676</v>
      </c>
      <c r="D202" s="5" t="s">
        <v>677</v>
      </c>
    </row>
    <row r="203" spans="2:4" x14ac:dyDescent="0.3">
      <c r="B203" s="5" t="s">
        <v>678</v>
      </c>
      <c r="C203" s="5" t="s">
        <v>679</v>
      </c>
      <c r="D203" s="5" t="s">
        <v>680</v>
      </c>
    </row>
    <row r="204" spans="2:4" x14ac:dyDescent="0.3">
      <c r="B204" s="6" t="s">
        <v>646</v>
      </c>
      <c r="C204" s="11" t="s">
        <v>681</v>
      </c>
      <c r="D204" s="6" t="s">
        <v>682</v>
      </c>
    </row>
    <row r="205" spans="2:4" x14ac:dyDescent="0.3">
      <c r="B205" s="5" t="s">
        <v>684</v>
      </c>
      <c r="C205" s="5" t="s">
        <v>685</v>
      </c>
      <c r="D205" s="5" t="s">
        <v>686</v>
      </c>
    </row>
    <row r="206" spans="2:4" x14ac:dyDescent="0.3">
      <c r="B206" s="5" t="s">
        <v>687</v>
      </c>
      <c r="C206" s="5" t="s">
        <v>688</v>
      </c>
      <c r="D206" s="5" t="s">
        <v>689</v>
      </c>
    </row>
    <row r="207" spans="2:4" x14ac:dyDescent="0.3">
      <c r="B207" s="5" t="s">
        <v>690</v>
      </c>
      <c r="C207" s="5" t="s">
        <v>691</v>
      </c>
      <c r="D207" s="5" t="s">
        <v>692</v>
      </c>
    </row>
    <row r="208" spans="2:4" x14ac:dyDescent="0.3">
      <c r="B208" s="5" t="s">
        <v>693</v>
      </c>
      <c r="C208" s="5" t="s">
        <v>694</v>
      </c>
      <c r="D208" s="5" t="s">
        <v>694</v>
      </c>
    </row>
    <row r="209" spans="2:4" x14ac:dyDescent="0.3">
      <c r="B209" s="5" t="s">
        <v>695</v>
      </c>
      <c r="C209" s="5" t="s">
        <v>695</v>
      </c>
      <c r="D209" s="5" t="s">
        <v>696</v>
      </c>
    </row>
    <row r="210" spans="2:4" x14ac:dyDescent="0.3">
      <c r="B210" s="5" t="s">
        <v>697</v>
      </c>
      <c r="C210" s="5" t="s">
        <v>698</v>
      </c>
      <c r="D210" s="5" t="s">
        <v>699</v>
      </c>
    </row>
    <row r="211" spans="2:4" x14ac:dyDescent="0.3">
      <c r="B211" s="5" t="s">
        <v>700</v>
      </c>
      <c r="C211" s="5" t="s">
        <v>701</v>
      </c>
      <c r="D211" s="5" t="s">
        <v>702</v>
      </c>
    </row>
    <row r="212" spans="2:4" x14ac:dyDescent="0.3">
      <c r="B212" s="5" t="s">
        <v>703</v>
      </c>
      <c r="C212" s="5" t="s">
        <v>704</v>
      </c>
      <c r="D212" s="5" t="s">
        <v>705</v>
      </c>
    </row>
    <row r="213" spans="2:4" x14ac:dyDescent="0.3">
      <c r="B213" s="5" t="s">
        <v>706</v>
      </c>
      <c r="C213" s="5" t="s">
        <v>707</v>
      </c>
      <c r="D213" s="5" t="s">
        <v>708</v>
      </c>
    </row>
    <row r="214" spans="2:4" x14ac:dyDescent="0.3">
      <c r="B214" s="5" t="s">
        <v>709</v>
      </c>
      <c r="C214" s="5" t="s">
        <v>710</v>
      </c>
      <c r="D214" s="5" t="s">
        <v>711</v>
      </c>
    </row>
    <row r="215" spans="2:4" x14ac:dyDescent="0.3">
      <c r="B215" s="5" t="s">
        <v>712</v>
      </c>
      <c r="C215" s="5" t="s">
        <v>713</v>
      </c>
      <c r="D215" s="5" t="s">
        <v>714</v>
      </c>
    </row>
    <row r="216" spans="2:4" x14ac:dyDescent="0.3">
      <c r="B216" s="5" t="s">
        <v>715</v>
      </c>
      <c r="C216" s="5" t="s">
        <v>716</v>
      </c>
      <c r="D216" s="5" t="s">
        <v>717</v>
      </c>
    </row>
    <row r="217" spans="2:4" x14ac:dyDescent="0.3">
      <c r="B217" s="6" t="s">
        <v>683</v>
      </c>
      <c r="C217" s="11" t="s">
        <v>718</v>
      </c>
      <c r="D217" s="6" t="s">
        <v>719</v>
      </c>
    </row>
    <row r="218" spans="2:4" x14ac:dyDescent="0.3">
      <c r="B218" s="5" t="s">
        <v>721</v>
      </c>
      <c r="C218" s="5" t="s">
        <v>722</v>
      </c>
      <c r="D218" s="5" t="s">
        <v>723</v>
      </c>
    </row>
    <row r="219" spans="2:4" x14ac:dyDescent="0.3">
      <c r="B219" s="5" t="s">
        <v>724</v>
      </c>
      <c r="C219" s="5" t="s">
        <v>725</v>
      </c>
      <c r="D219" s="5" t="s">
        <v>726</v>
      </c>
    </row>
    <row r="220" spans="2:4" x14ac:dyDescent="0.3">
      <c r="B220" s="5" t="s">
        <v>727</v>
      </c>
      <c r="C220" s="5" t="s">
        <v>728</v>
      </c>
      <c r="D220" s="5" t="s">
        <v>729</v>
      </c>
    </row>
    <row r="221" spans="2:4" x14ac:dyDescent="0.3">
      <c r="B221" s="5" t="s">
        <v>730</v>
      </c>
      <c r="C221" s="5" t="s">
        <v>731</v>
      </c>
      <c r="D221" s="5" t="s">
        <v>731</v>
      </c>
    </row>
    <row r="222" spans="2:4" x14ac:dyDescent="0.3">
      <c r="B222" s="5" t="s">
        <v>732</v>
      </c>
      <c r="C222" s="5" t="s">
        <v>732</v>
      </c>
      <c r="D222" s="5" t="s">
        <v>733</v>
      </c>
    </row>
    <row r="223" spans="2:4" x14ac:dyDescent="0.3">
      <c r="B223" s="5" t="s">
        <v>734</v>
      </c>
      <c r="C223" s="5" t="s">
        <v>735</v>
      </c>
      <c r="D223" s="5" t="s">
        <v>736</v>
      </c>
    </row>
    <row r="224" spans="2:4" x14ac:dyDescent="0.3">
      <c r="B224" s="5" t="s">
        <v>737</v>
      </c>
      <c r="C224" s="5" t="s">
        <v>738</v>
      </c>
      <c r="D224" s="5" t="s">
        <v>739</v>
      </c>
    </row>
    <row r="225" spans="2:4" x14ac:dyDescent="0.3">
      <c r="B225" s="5" t="s">
        <v>740</v>
      </c>
      <c r="C225" s="5" t="s">
        <v>741</v>
      </c>
      <c r="D225" s="5" t="s">
        <v>742</v>
      </c>
    </row>
    <row r="226" spans="2:4" x14ac:dyDescent="0.3">
      <c r="B226" s="5" t="s">
        <v>743</v>
      </c>
      <c r="C226" s="5" t="s">
        <v>744</v>
      </c>
      <c r="D226" s="5" t="s">
        <v>745</v>
      </c>
    </row>
    <row r="227" spans="2:4" x14ac:dyDescent="0.3">
      <c r="B227" s="5" t="s">
        <v>746</v>
      </c>
      <c r="C227" s="5" t="s">
        <v>747</v>
      </c>
      <c r="D227" s="5" t="s">
        <v>748</v>
      </c>
    </row>
    <row r="228" spans="2:4" x14ac:dyDescent="0.3">
      <c r="B228" s="5" t="s">
        <v>749</v>
      </c>
      <c r="C228" s="5" t="s">
        <v>750</v>
      </c>
      <c r="D228" s="5" t="s">
        <v>751</v>
      </c>
    </row>
    <row r="229" spans="2:4" x14ac:dyDescent="0.3">
      <c r="B229" s="5" t="s">
        <v>752</v>
      </c>
      <c r="C229" s="5" t="s">
        <v>753</v>
      </c>
      <c r="D229" s="5" t="s">
        <v>754</v>
      </c>
    </row>
    <row r="230" spans="2:4" x14ac:dyDescent="0.3">
      <c r="B230" s="6" t="s">
        <v>720</v>
      </c>
      <c r="C230" s="11" t="s">
        <v>755</v>
      </c>
      <c r="D230" s="6" t="s">
        <v>756</v>
      </c>
    </row>
    <row r="231" spans="2:4" x14ac:dyDescent="0.3">
      <c r="B231" s="5" t="s">
        <v>758</v>
      </c>
      <c r="C231" s="5" t="s">
        <v>759</v>
      </c>
      <c r="D231" s="5" t="s">
        <v>760</v>
      </c>
    </row>
    <row r="232" spans="2:4" x14ac:dyDescent="0.3">
      <c r="B232" s="5" t="s">
        <v>761</v>
      </c>
      <c r="C232" s="5" t="s">
        <v>762</v>
      </c>
      <c r="D232" s="5" t="s">
        <v>763</v>
      </c>
    </row>
    <row r="233" spans="2:4" x14ac:dyDescent="0.3">
      <c r="B233" s="5" t="s">
        <v>764</v>
      </c>
      <c r="C233" s="5" t="s">
        <v>765</v>
      </c>
      <c r="D233" s="5" t="s">
        <v>766</v>
      </c>
    </row>
    <row r="234" spans="2:4" x14ac:dyDescent="0.3">
      <c r="B234" s="5" t="s">
        <v>767</v>
      </c>
      <c r="C234" s="5" t="s">
        <v>768</v>
      </c>
      <c r="D234" s="5" t="s">
        <v>768</v>
      </c>
    </row>
    <row r="235" spans="2:4" x14ac:dyDescent="0.3">
      <c r="B235" s="5" t="s">
        <v>769</v>
      </c>
      <c r="C235" s="5" t="s">
        <v>769</v>
      </c>
      <c r="D235" s="5" t="s">
        <v>770</v>
      </c>
    </row>
    <row r="236" spans="2:4" x14ac:dyDescent="0.3">
      <c r="B236" s="5" t="s">
        <v>771</v>
      </c>
      <c r="C236" s="5" t="s">
        <v>772</v>
      </c>
      <c r="D236" s="5" t="s">
        <v>773</v>
      </c>
    </row>
    <row r="237" spans="2:4" x14ac:dyDescent="0.3">
      <c r="B237" s="5" t="s">
        <v>774</v>
      </c>
      <c r="C237" s="5" t="s">
        <v>775</v>
      </c>
      <c r="D237" s="5" t="s">
        <v>776</v>
      </c>
    </row>
    <row r="238" spans="2:4" x14ac:dyDescent="0.3">
      <c r="B238" s="5" t="s">
        <v>777</v>
      </c>
      <c r="C238" s="5" t="s">
        <v>778</v>
      </c>
      <c r="D238" s="5" t="s">
        <v>779</v>
      </c>
    </row>
    <row r="239" spans="2:4" x14ac:dyDescent="0.3">
      <c r="B239" s="5" t="s">
        <v>780</v>
      </c>
      <c r="C239" s="5" t="s">
        <v>781</v>
      </c>
      <c r="D239" s="5" t="s">
        <v>782</v>
      </c>
    </row>
    <row r="240" spans="2:4" x14ac:dyDescent="0.3">
      <c r="B240" s="5" t="s">
        <v>783</v>
      </c>
      <c r="C240" s="5" t="s">
        <v>784</v>
      </c>
      <c r="D240" s="5" t="s">
        <v>785</v>
      </c>
    </row>
    <row r="241" spans="2:4" x14ac:dyDescent="0.3">
      <c r="B241" s="5" t="s">
        <v>786</v>
      </c>
      <c r="C241" s="5" t="s">
        <v>787</v>
      </c>
      <c r="D241" s="5" t="s">
        <v>788</v>
      </c>
    </row>
    <row r="242" spans="2:4" x14ac:dyDescent="0.3">
      <c r="B242" s="5" t="s">
        <v>789</v>
      </c>
      <c r="C242" s="5" t="s">
        <v>790</v>
      </c>
      <c r="D242" s="5" t="s">
        <v>791</v>
      </c>
    </row>
    <row r="243" spans="2:4" x14ac:dyDescent="0.3">
      <c r="B243" s="6" t="s">
        <v>757</v>
      </c>
      <c r="C243" s="11" t="s">
        <v>792</v>
      </c>
      <c r="D243" s="6" t="s">
        <v>793</v>
      </c>
    </row>
    <row r="244" spans="2:4" x14ac:dyDescent="0.3">
      <c r="B244" s="5" t="s">
        <v>795</v>
      </c>
      <c r="C244" s="5" t="s">
        <v>796</v>
      </c>
      <c r="D244" s="5" t="s">
        <v>797</v>
      </c>
    </row>
    <row r="245" spans="2:4" x14ac:dyDescent="0.3">
      <c r="B245" s="5" t="s">
        <v>798</v>
      </c>
      <c r="C245" s="5" t="s">
        <v>799</v>
      </c>
      <c r="D245" s="5" t="s">
        <v>800</v>
      </c>
    </row>
    <row r="246" spans="2:4" x14ac:dyDescent="0.3">
      <c r="B246" s="5" t="s">
        <v>801</v>
      </c>
      <c r="C246" s="5" t="s">
        <v>802</v>
      </c>
      <c r="D246" s="5" t="s">
        <v>803</v>
      </c>
    </row>
    <row r="247" spans="2:4" x14ac:dyDescent="0.3">
      <c r="B247" s="5" t="s">
        <v>804</v>
      </c>
      <c r="C247" s="5" t="s">
        <v>805</v>
      </c>
      <c r="D247" s="5" t="s">
        <v>805</v>
      </c>
    </row>
    <row r="248" spans="2:4" x14ac:dyDescent="0.3">
      <c r="B248" s="5" t="s">
        <v>806</v>
      </c>
      <c r="C248" s="5" t="s">
        <v>806</v>
      </c>
      <c r="D248" s="5" t="s">
        <v>807</v>
      </c>
    </row>
    <row r="249" spans="2:4" x14ac:dyDescent="0.3">
      <c r="B249" s="5" t="s">
        <v>808</v>
      </c>
      <c r="C249" s="5" t="s">
        <v>809</v>
      </c>
      <c r="D249" s="5" t="s">
        <v>810</v>
      </c>
    </row>
    <row r="250" spans="2:4" x14ac:dyDescent="0.3">
      <c r="B250" s="5" t="s">
        <v>811</v>
      </c>
      <c r="C250" s="5" t="s">
        <v>812</v>
      </c>
      <c r="D250" s="5" t="s">
        <v>813</v>
      </c>
    </row>
    <row r="251" spans="2:4" x14ac:dyDescent="0.3">
      <c r="B251" s="5" t="s">
        <v>814</v>
      </c>
      <c r="C251" s="5" t="s">
        <v>815</v>
      </c>
      <c r="D251" s="5" t="s">
        <v>816</v>
      </c>
    </row>
    <row r="252" spans="2:4" x14ac:dyDescent="0.3">
      <c r="B252" s="5" t="s">
        <v>817</v>
      </c>
      <c r="C252" s="5" t="s">
        <v>818</v>
      </c>
      <c r="D252" s="5" t="s">
        <v>819</v>
      </c>
    </row>
    <row r="253" spans="2:4" x14ac:dyDescent="0.3">
      <c r="B253" s="5" t="s">
        <v>820</v>
      </c>
      <c r="C253" s="5" t="s">
        <v>821</v>
      </c>
      <c r="D253" s="5" t="s">
        <v>822</v>
      </c>
    </row>
    <row r="254" spans="2:4" x14ac:dyDescent="0.3">
      <c r="B254" s="5" t="s">
        <v>823</v>
      </c>
      <c r="C254" s="5" t="s">
        <v>824</v>
      </c>
      <c r="D254" s="5" t="s">
        <v>825</v>
      </c>
    </row>
    <row r="255" spans="2:4" x14ac:dyDescent="0.3">
      <c r="B255" s="5" t="s">
        <v>826</v>
      </c>
      <c r="C255" s="5" t="s">
        <v>827</v>
      </c>
      <c r="D255" s="5" t="s">
        <v>828</v>
      </c>
    </row>
    <row r="256" spans="2:4" x14ac:dyDescent="0.3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PAGESAT</vt:lpstr>
      <vt:lpstr>PRANIMET</vt:lpstr>
      <vt:lpstr>PAGESAT 2026</vt:lpstr>
      <vt:lpstr>PRANIMET 2026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Albione Mani</cp:lastModifiedBy>
  <cp:lastPrinted>2025-06-09T12:23:14Z</cp:lastPrinted>
  <dcterms:created xsi:type="dcterms:W3CDTF">2015-03-12T08:53:45Z</dcterms:created>
  <dcterms:modified xsi:type="dcterms:W3CDTF">2026-02-10T12:43:04Z</dcterms:modified>
</cp:coreProperties>
</file>