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2" l="1"/>
  <c r="V31" i="6" l="1"/>
  <c r="H19" i="12" l="1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C17" i="12"/>
  <c r="G29" i="12"/>
  <c r="H29" i="12"/>
  <c r="C19" i="12"/>
  <c r="C20" i="12"/>
  <c r="C21" i="12"/>
  <c r="K29" i="12"/>
  <c r="C22" i="12"/>
  <c r="C23" i="12"/>
  <c r="C24" i="12"/>
  <c r="C25" i="12"/>
  <c r="C26" i="12"/>
  <c r="C27" i="12"/>
  <c r="C28" i="12"/>
  <c r="D29" i="12"/>
  <c r="E29" i="12"/>
  <c r="F29" i="12"/>
  <c r="I29" i="12"/>
  <c r="J29" i="12"/>
  <c r="C27" i="6" l="1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C29" i="12" s="1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6" i="6" l="1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16" i="12" l="1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<sst xmlns="http://schemas.openxmlformats.org/spreadsheetml/2006/main" count="1004" uniqueCount="894">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</sst>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9" applyBorder="0"/>
  </cellStyleXfs>
  <cellXfs count="15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3" fontId="0" fillId="0" borderId="10" xfId="1" applyNumberFormat="1" applyFont="1" applyBorder="1" applyProtection="1">
      <protection hidden="1"/>
    </xf>
    <xf numFmtId="43" fontId="0" fillId="0" borderId="12" xfId="1" applyNumberFormat="1" applyFont="1" applyBorder="1" applyProtection="1">
      <protection hidden="1"/>
    </xf>
    <xf numFmtId="43" fontId="0" fillId="0" borderId="12" xfId="1" applyNumberFormat="1" applyFont="1" applyFill="1" applyBorder="1" applyProtection="1">
      <protection hidden="1"/>
    </xf>
    <xf numFmtId="43" fontId="17" fillId="34" borderId="13" xfId="1" applyNumberFormat="1" applyFont="1" applyFill="1" applyBorder="1" applyAlignment="1" applyProtection="1">
      <alignment horizontal="center"/>
      <protection hidden="1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43" fontId="0" fillId="0" borderId="23" xfId="1" applyNumberFormat="1" applyFont="1" applyBorder="1" applyProtection="1">
      <protection hidden="1"/>
    </xf>
    <xf numFmtId="43" fontId="0" fillId="0" borderId="30" xfId="1" applyNumberFormat="1" applyFont="1" applyBorder="1" applyProtection="1">
      <protection hidden="1"/>
    </xf>
    <xf numFmtId="43" fontId="24" fillId="0" borderId="31" xfId="1" applyNumberFormat="1" applyFont="1" applyBorder="1" applyProtection="1">
      <protection hidden="1"/>
    </xf>
    <xf numFmtId="43" fontId="0" fillId="0" borderId="31" xfId="1" applyNumberFormat="1" applyFont="1" applyBorder="1" applyProtection="1">
      <protection hidden="1"/>
    </xf>
    <xf numFmtId="43" fontId="24" fillId="0" borderId="32" xfId="1" applyNumberFormat="1" applyFont="1" applyBorder="1" applyProtection="1">
      <protection hidden="1"/>
    </xf>
    <xf numFmtId="43" fontId="1" fillId="2" borderId="13" xfId="1" applyNumberFormat="1" applyFont="1" applyFill="1" applyBorder="1" applyAlignment="1" applyProtection="1">
      <alignment horizontal="center"/>
      <protection hidden="1"/>
    </xf>
    <xf numFmtId="43" fontId="1" fillId="2" borderId="33" xfId="1" applyNumberFormat="1" applyFont="1" applyFill="1" applyBorder="1" applyAlignment="1" applyProtection="1">
      <alignment horizontal="center"/>
      <protection hidden="1"/>
    </xf>
    <xf numFmtId="43" fontId="0" fillId="0" borderId="30" xfId="1" applyNumberFormat="1" applyFont="1" applyFill="1" applyBorder="1" applyProtection="1">
      <protection hidden="1"/>
    </xf>
    <xf numFmtId="43" fontId="17" fillId="34" borderId="25" xfId="1" applyNumberFormat="1" applyFont="1" applyFill="1" applyBorder="1" applyAlignment="1" applyProtection="1">
      <alignment horizontal="center"/>
      <protection hidden="1"/>
    </xf>
    <xf numFmtId="43" fontId="0" fillId="0" borderId="32" xfId="1" applyNumberFormat="1" applyFont="1" applyBorder="1" applyProtection="1">
      <protection hidden="1"/>
    </xf>
    <xf numFmtId="43" fontId="17" fillId="34" borderId="22" xfId="1" applyNumberFormat="1" applyFont="1" applyFill="1" applyBorder="1" applyAlignment="1" applyProtection="1">
      <alignment horizont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43" fontId="0" fillId="0" borderId="34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35" xfId="1" applyNumberFormat="1" applyFont="1" applyBorder="1" applyProtection="1">
      <protection hidden="1"/>
    </xf>
    <xf numFmtId="43" fontId="0" fillId="0" borderId="35" xfId="1" applyNumberFormat="1" applyFon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17" fillId="34" borderId="22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3" fontId="0" fillId="0" borderId="10" xfId="1" applyNumberFormat="1" applyFont="1" applyBorder="1" applyAlignment="1">
      <alignment horizontal="right"/>
    </xf>
    <xf numFmtId="43" fontId="0" fillId="0" borderId="0" xfId="1" applyNumberFormat="1" applyFont="1" applyFill="1" applyBorder="1" applyProtection="1">
      <protection hidden="1"/>
    </xf>
    <xf numFmtId="43" fontId="0" fillId="0" borderId="0" xfId="0" applyNumberFormat="1" applyFont="1" applyProtection="1">
      <protection hidden="1"/>
    </xf>
    <xf numFmtId="165" fontId="0" fillId="0" borderId="10" xfId="1" applyNumberFormat="1" applyFont="1" applyBorder="1" applyAlignment="1">
      <alignment horizontal="right"/>
    </xf>
    <xf numFmtId="43" fontId="29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39"/>
  <sheetViews>
    <sheetView tabSelected="1" zoomScale="70" zoomScaleNormal="70" zoomScaleSheetLayoutView="80" workbookViewId="0">
      <pane xSplit="2" ySplit="5" topLeftCell="E9" activePane="bottomRight" state="frozen"/>
      <selection pane="topRight" activeCell="B1" sqref="B1"/>
      <selection pane="bottomLeft" activeCell="A6" sqref="A6"/>
      <selection pane="bottomRight" activeCell="B3" sqref="B3:B5"/>
    </sheetView>
  </sheetViews>
  <sheetFormatPr defaultColWidth="9.109375" defaultRowHeight="14.4" x14ac:dyDescent="0.3"/>
  <cols>
    <col min="1" max="1" width="5.44140625" style="71" customWidth="1"/>
    <col min="2" max="2" width="14.109375" style="71" customWidth="1"/>
    <col min="3" max="3" width="15.33203125" style="71" customWidth="1"/>
    <col min="4" max="4" width="15.109375" style="71" hidden="1" customWidth="1"/>
    <col min="5" max="5" width="18.77734375" style="82" customWidth="1"/>
    <col min="6" max="7" width="15.109375" style="71" bestFit="1" customWidth="1"/>
    <col min="8" max="8" width="13.33203125" style="71" bestFit="1" customWidth="1"/>
    <col min="9" max="9" width="14.33203125" style="71" bestFit="1" customWidth="1"/>
    <col min="10" max="10" width="15.33203125" style="71" bestFit="1" customWidth="1"/>
    <col min="11" max="12" width="15.109375" style="71" bestFit="1" customWidth="1"/>
    <col min="13" max="13" width="14.5546875" style="71" customWidth="1"/>
    <col min="14" max="14" width="15.33203125" style="71" customWidth="1"/>
    <col min="15" max="15" width="14.33203125" style="71" bestFit="1" customWidth="1"/>
    <col min="16" max="16" width="13.33203125" style="71" bestFit="1" customWidth="1"/>
    <col min="17" max="17" width="13.88671875" style="71" customWidth="1"/>
    <col min="18" max="18" width="15.109375" style="71" bestFit="1" customWidth="1"/>
    <col min="19" max="19" width="13.88671875" style="71" bestFit="1" customWidth="1"/>
    <col min="20" max="20" width="14" style="71" customWidth="1"/>
    <col min="21" max="21" width="12.109375" style="71" bestFit="1" customWidth="1"/>
    <col min="22" max="22" width="12.44140625" style="71" bestFit="1" customWidth="1"/>
    <col min="23" max="16384" width="9.109375" style="71"/>
  </cols>
  <sheetData>
    <row r="1" spans="1:22" ht="26.25" customHeight="1" x14ac:dyDescent="0.3">
      <c r="A1" s="68" t="str">
        <f>IF([1]L!$A$1=1,[1]L!G2,IF([1]L!$A$1=2,[1]L!G11,[1]L!G21))</f>
        <v>Tabela 1: Pagesat</v>
      </c>
      <c r="B1" s="69"/>
      <c r="C1" s="70"/>
      <c r="D1" s="152" t="s">
        <v>609</v>
      </c>
      <c r="E1" s="72"/>
      <c r="F1" s="70"/>
      <c r="G1" s="70"/>
      <c r="H1" s="70"/>
      <c r="I1" s="70"/>
      <c r="J1" s="70"/>
      <c r="M1" s="83"/>
      <c r="N1"/>
      <c r="O1" s="83"/>
      <c r="P1" s="83"/>
      <c r="R1" s="83"/>
    </row>
    <row r="2" spans="1:22" ht="18.75" customHeight="1" x14ac:dyDescent="0.3">
      <c r="A2" s="91" t="s">
        <v>876</v>
      </c>
      <c r="B2" s="73"/>
      <c r="C2" s="73"/>
      <c r="D2" s="153"/>
      <c r="E2" s="74"/>
      <c r="F2" s="74"/>
      <c r="G2" s="74"/>
      <c r="H2" s="74"/>
      <c r="I2" s="74"/>
      <c r="J2" s="74"/>
      <c r="O2" s="83"/>
    </row>
    <row r="3" spans="1:22" s="75" customFormat="1" ht="12.75" customHeight="1" x14ac:dyDescent="0.3">
      <c r="A3" s="154"/>
      <c r="B3" s="154"/>
      <c r="C3" s="131"/>
      <c r="D3" s="84"/>
      <c r="E3" s="77"/>
      <c r="F3" s="78"/>
      <c r="G3" s="78"/>
      <c r="H3" s="78"/>
      <c r="I3" s="78"/>
      <c r="J3" s="79"/>
      <c r="K3" s="77"/>
      <c r="L3" s="78"/>
      <c r="M3" s="78"/>
      <c r="N3" s="78"/>
      <c r="O3" s="78"/>
      <c r="P3" s="79"/>
      <c r="Q3" s="77"/>
      <c r="R3" s="78"/>
      <c r="S3" s="78"/>
      <c r="T3" s="78"/>
      <c r="U3" s="78"/>
      <c r="V3" s="79"/>
    </row>
    <row r="4" spans="1:22" s="75" customFormat="1" ht="12.75" customHeight="1" x14ac:dyDescent="0.3">
      <c r="A4" s="155"/>
      <c r="B4" s="155"/>
      <c r="C4" s="76"/>
      <c r="D4" s="115"/>
      <c r="E4" s="80"/>
      <c r="F4" s="84"/>
      <c r="G4" s="113"/>
      <c r="H4" s="113"/>
      <c r="I4" s="113"/>
      <c r="J4" s="113"/>
      <c r="K4" s="80"/>
      <c r="L4" s="84"/>
      <c r="M4" s="113"/>
      <c r="N4" s="113"/>
      <c r="O4" s="113"/>
      <c r="P4" s="113"/>
      <c r="Q4" s="80"/>
      <c r="R4" s="84"/>
      <c r="S4" s="113"/>
      <c r="T4" s="113"/>
      <c r="U4" s="150" t="s">
        <v>21</v>
      </c>
      <c r="V4" s="113"/>
    </row>
    <row r="5" spans="1:22" s="81" customFormat="1" ht="57" customHeight="1" x14ac:dyDescent="0.3">
      <c r="A5" s="155"/>
      <c r="B5" s="156"/>
      <c r="C5" s="139" t="str">
        <f>IF([1]L!$A$1=1,[1]L!I4,IF([1]L!$A$1=2,[1]L!I13,[1]L!I23))</f>
        <v>Gjithsejt Pagesat</v>
      </c>
      <c r="D5" s="114" t="str">
        <f>IF([1]L!$A$1=1,[1]L!J4,IF([1]L!$A$1=2,[1]L!J13,[1]L!J23))</f>
        <v>Shpenzimet</v>
      </c>
      <c r="E5" s="114" t="str">
        <f>IF([1]L!$A$1=1,[1]L!S4,IF([1]L!$A$1=2,[1]L!S13,[1]L!S23))</f>
        <v>Qeveria Lokale</v>
      </c>
      <c r="F5" s="114" t="str">
        <f>IF([1]L!$A$1=1,[1]L!T4,IF([1]L!$A$1=2,[1]L!T13,[1]L!T23))</f>
        <v>Paga</v>
      </c>
      <c r="G5" s="114" t="str">
        <f>IF([1]L!$A$1=1,[1]L!U4,IF([1]L!$A$1=2,[1]L!U13,[1]L!U23))</f>
        <v>Mallra dhe shërbime</v>
      </c>
      <c r="H5" s="114" t="str">
        <f>IF([1]L!$A$1=1,[1]L!V4,IF([1]L!$A$1=2,[1]L!V13,[1]L!V23))</f>
        <v>Shpenzime komunale</v>
      </c>
      <c r="I5" s="114" t="str">
        <f>IF([1]L!$A$1=1,[1]L!W4,IF([1]L!$A$1=2,[1]L!W13,[1]L!W23))</f>
        <v>Subvencione dhe Transfere</v>
      </c>
      <c r="J5" s="114" t="str">
        <f>IF([1]L!$A$1=1,[1]L!X4,IF([1]L!$A$1=2,[1]L!X13,[1]L!X23))</f>
        <v>Shpenzime Kapitale</v>
      </c>
      <c r="K5" s="114" t="s">
        <v>868</v>
      </c>
      <c r="L5" s="114" t="s">
        <v>0</v>
      </c>
      <c r="M5" s="114" t="s">
        <v>32</v>
      </c>
      <c r="N5" s="114" t="s">
        <v>33</v>
      </c>
      <c r="O5" s="114" t="s">
        <v>21</v>
      </c>
      <c r="P5" s="114" t="s">
        <v>35</v>
      </c>
      <c r="Q5" s="114" t="s">
        <v>869</v>
      </c>
      <c r="R5" s="114" t="s">
        <v>0</v>
      </c>
      <c r="S5" s="114" t="s">
        <v>32</v>
      </c>
      <c r="T5" s="114" t="s">
        <v>33</v>
      </c>
      <c r="U5" s="151"/>
      <c r="V5" s="114" t="s">
        <v>35</v>
      </c>
    </row>
    <row r="6" spans="1:22" x14ac:dyDescent="0.3">
      <c r="A6" s="146">
        <v>2024</v>
      </c>
      <c r="B6" s="136" t="s">
        <v>879</v>
      </c>
      <c r="C6" s="105">
        <f>E6+K6+Q6</f>
        <v>1646605.12</v>
      </c>
      <c r="D6" s="120">
        <f t="shared" ref="D6:D17" si="0">+E6+K6+Q6</f>
        <v>1646605.12</v>
      </c>
      <c r="E6" s="125">
        <f>SUM(F6:J6)</f>
        <v>213006.44</v>
      </c>
      <c r="F6" s="122">
        <v>213006.44</v>
      </c>
      <c r="G6" s="105"/>
      <c r="H6" s="105"/>
      <c r="I6" s="105"/>
      <c r="J6" s="120"/>
      <c r="K6" s="125">
        <f>SUM(L6:P6)</f>
        <v>1167100.32</v>
      </c>
      <c r="L6" s="123">
        <v>1163127.23</v>
      </c>
      <c r="M6" s="105">
        <v>3973.09</v>
      </c>
      <c r="N6" s="105"/>
      <c r="O6" s="105"/>
      <c r="P6" s="120"/>
      <c r="Q6" s="125">
        <f>SUM(R6:V6)</f>
        <v>266498.36</v>
      </c>
      <c r="R6" s="123">
        <v>266498.36</v>
      </c>
      <c r="S6" s="105"/>
      <c r="T6" s="105"/>
      <c r="U6" s="105"/>
      <c r="V6" s="132"/>
    </row>
    <row r="7" spans="1:22" x14ac:dyDescent="0.3">
      <c r="A7" s="147"/>
      <c r="B7" s="136" t="s">
        <v>880</v>
      </c>
      <c r="C7" s="105">
        <f t="shared" ref="C7:C11" si="1">E7+K7+Q7</f>
        <v>5735139.8500000006</v>
      </c>
      <c r="D7" s="120">
        <f t="shared" si="0"/>
        <v>5735139.8500000006</v>
      </c>
      <c r="E7" s="126">
        <f t="shared" ref="E7:E11" si="2">SUM(F7:J7)</f>
        <v>3817204.37</v>
      </c>
      <c r="F7" s="123">
        <v>210936.36</v>
      </c>
      <c r="G7" s="105">
        <f>1389386.77-500</f>
        <v>1388886.77</v>
      </c>
      <c r="H7" s="105">
        <v>171630.84</v>
      </c>
      <c r="I7" s="105">
        <v>37660</v>
      </c>
      <c r="J7" s="120">
        <v>2008090.4</v>
      </c>
      <c r="K7" s="125">
        <f t="shared" ref="K7:K9" si="3">SUM(L7:P7)</f>
        <v>1407057.53</v>
      </c>
      <c r="L7" s="123">
        <v>1396140.39</v>
      </c>
      <c r="M7" s="105">
        <v>9919.02</v>
      </c>
      <c r="N7" s="105">
        <v>998.12</v>
      </c>
      <c r="O7" s="105"/>
      <c r="P7" s="120"/>
      <c r="Q7" s="125">
        <f t="shared" ref="Q7:Q17" si="4">SUM(R7:V7)</f>
        <v>510877.95</v>
      </c>
      <c r="R7" s="123">
        <v>272550.59000000003</v>
      </c>
      <c r="S7" s="105">
        <v>229160.69</v>
      </c>
      <c r="T7" s="105">
        <v>9166.67</v>
      </c>
      <c r="U7" s="105"/>
      <c r="V7" s="132"/>
    </row>
    <row r="8" spans="1:22" x14ac:dyDescent="0.3">
      <c r="A8" s="147"/>
      <c r="B8" s="136" t="s">
        <v>881</v>
      </c>
      <c r="C8" s="105">
        <f t="shared" si="1"/>
        <v>3523806.18</v>
      </c>
      <c r="D8" s="120">
        <f t="shared" si="0"/>
        <v>3523806.18</v>
      </c>
      <c r="E8" s="126">
        <f t="shared" si="2"/>
        <v>1260584.3099999998</v>
      </c>
      <c r="F8" s="122">
        <v>215651.49</v>
      </c>
      <c r="G8" s="105">
        <v>505462.47</v>
      </c>
      <c r="H8" s="105">
        <v>64379.09</v>
      </c>
      <c r="I8" s="105">
        <f>315750-1690</f>
        <v>314060</v>
      </c>
      <c r="J8" s="120">
        <v>161031.26</v>
      </c>
      <c r="K8" s="125">
        <f t="shared" si="3"/>
        <v>1715542.9300000002</v>
      </c>
      <c r="L8" s="123">
        <v>1247529.5900000001</v>
      </c>
      <c r="M8" s="105">
        <v>233608.07</v>
      </c>
      <c r="N8" s="105">
        <v>10071.75</v>
      </c>
      <c r="O8" s="105"/>
      <c r="P8" s="120">
        <v>224333.52</v>
      </c>
      <c r="Q8" s="125">
        <f t="shared" si="4"/>
        <v>547678.93999999994</v>
      </c>
      <c r="R8" s="123">
        <v>260591.71</v>
      </c>
      <c r="S8" s="105">
        <f>184834.75-500</f>
        <v>184334.75</v>
      </c>
      <c r="T8" s="105">
        <v>2922.48</v>
      </c>
      <c r="U8" s="105">
        <f>101430-1600</f>
        <v>99830</v>
      </c>
      <c r="V8" s="132"/>
    </row>
    <row r="9" spans="1:22" x14ac:dyDescent="0.3">
      <c r="A9" s="147"/>
      <c r="B9" s="136" t="s">
        <v>882</v>
      </c>
      <c r="C9" s="105">
        <f t="shared" si="1"/>
        <v>5509683.75</v>
      </c>
      <c r="D9" s="120">
        <f t="shared" si="0"/>
        <v>5509683.75</v>
      </c>
      <c r="E9" s="126">
        <f t="shared" si="2"/>
        <v>3368762.0999999996</v>
      </c>
      <c r="F9" s="122">
        <v>208413.74</v>
      </c>
      <c r="G9" s="105">
        <f>1035578.7-700</f>
        <v>1034878.7</v>
      </c>
      <c r="H9" s="105">
        <v>64918.48</v>
      </c>
      <c r="I9" s="105">
        <v>9590</v>
      </c>
      <c r="J9" s="141">
        <v>2050961.18</v>
      </c>
      <c r="K9" s="125">
        <f t="shared" si="3"/>
        <v>1588651.4400000002</v>
      </c>
      <c r="L9" s="123">
        <v>1375158.31</v>
      </c>
      <c r="M9" s="105">
        <v>85083.54</v>
      </c>
      <c r="N9" s="105">
        <v>8410.35</v>
      </c>
      <c r="O9" s="105"/>
      <c r="P9" s="120">
        <v>119999.24</v>
      </c>
      <c r="Q9" s="125">
        <f t="shared" si="4"/>
        <v>552270.21</v>
      </c>
      <c r="R9" s="123">
        <v>263397.94</v>
      </c>
      <c r="S9" s="105">
        <v>288872.27</v>
      </c>
      <c r="T9" s="105"/>
      <c r="U9" s="105"/>
      <c r="V9" s="132"/>
    </row>
    <row r="10" spans="1:22" x14ac:dyDescent="0.3">
      <c r="A10" s="147"/>
      <c r="B10" s="136" t="s">
        <v>883</v>
      </c>
      <c r="C10" s="105">
        <f t="shared" si="1"/>
        <v>3863953.22</v>
      </c>
      <c r="D10" s="120">
        <f t="shared" si="0"/>
        <v>3863953.22</v>
      </c>
      <c r="E10" s="126">
        <f t="shared" si="2"/>
        <v>1721848.1800000002</v>
      </c>
      <c r="F10" s="122">
        <v>208180.13</v>
      </c>
      <c r="G10" s="105">
        <f>685024.28+500</f>
        <v>685524.28</v>
      </c>
      <c r="H10" s="105">
        <v>319.60000000000002</v>
      </c>
      <c r="I10" s="105">
        <v>34440</v>
      </c>
      <c r="J10" s="120">
        <v>793384.17</v>
      </c>
      <c r="K10" s="125">
        <f>SUM(L10:P10)</f>
        <v>1809606.31</v>
      </c>
      <c r="L10" s="105">
        <f>1541687.72-531.23</f>
        <v>1541156.49</v>
      </c>
      <c r="M10" s="105">
        <v>110516.33</v>
      </c>
      <c r="N10" s="105">
        <v>10733.74</v>
      </c>
      <c r="O10" s="105"/>
      <c r="P10" s="120">
        <v>147199.75</v>
      </c>
      <c r="Q10" s="125">
        <f t="shared" si="4"/>
        <v>332498.73000000004</v>
      </c>
      <c r="R10" s="123">
        <v>280757.32</v>
      </c>
      <c r="S10" s="105">
        <f>47872.27-500</f>
        <v>47372.27</v>
      </c>
      <c r="T10" s="105">
        <v>4369.1400000000003</v>
      </c>
      <c r="U10" s="105"/>
      <c r="V10" s="132"/>
    </row>
    <row r="11" spans="1:22" x14ac:dyDescent="0.3">
      <c r="A11" s="147"/>
      <c r="B11" s="136" t="s">
        <v>884</v>
      </c>
      <c r="C11" s="105">
        <f t="shared" si="1"/>
        <v>4155783.92</v>
      </c>
      <c r="D11" s="120">
        <f t="shared" si="0"/>
        <v>4155783.92</v>
      </c>
      <c r="E11" s="126">
        <f t="shared" si="2"/>
        <v>1822853.9</v>
      </c>
      <c r="F11" s="122">
        <v>216719.59</v>
      </c>
      <c r="G11" s="105">
        <f>415842.89-1000</f>
        <v>414842.89</v>
      </c>
      <c r="H11" s="105">
        <v>74396.92</v>
      </c>
      <c r="I11" s="105">
        <v>193320</v>
      </c>
      <c r="J11" s="120">
        <v>923574.5</v>
      </c>
      <c r="K11" s="125">
        <f>SUM(L11:P11)</f>
        <v>1895731.85</v>
      </c>
      <c r="L11" s="105">
        <v>1266149.8600000001</v>
      </c>
      <c r="M11" s="105">
        <v>82384.59</v>
      </c>
      <c r="N11" s="105">
        <v>8700</v>
      </c>
      <c r="O11" s="105">
        <f>450000-1500</f>
        <v>448500</v>
      </c>
      <c r="P11" s="120">
        <v>89997.4</v>
      </c>
      <c r="Q11" s="125">
        <f t="shared" si="4"/>
        <v>437198.17000000004</v>
      </c>
      <c r="R11" s="123">
        <v>267320.98</v>
      </c>
      <c r="S11" s="105">
        <v>134992.17000000001</v>
      </c>
      <c r="T11" s="105">
        <v>4335.0200000000004</v>
      </c>
      <c r="U11" s="105">
        <v>30550</v>
      </c>
      <c r="V11" s="132"/>
    </row>
    <row r="12" spans="1:22" x14ac:dyDescent="0.3">
      <c r="A12" s="147"/>
      <c r="B12" s="136" t="s">
        <v>885</v>
      </c>
      <c r="C12" s="105">
        <f>E12+K12+Q12</f>
        <v>4450341.18</v>
      </c>
      <c r="D12" s="120">
        <f t="shared" si="0"/>
        <v>4450341.18</v>
      </c>
      <c r="E12" s="126">
        <f>SUM(F12:J12)</f>
        <v>2528573.92</v>
      </c>
      <c r="F12" s="122">
        <v>220543.74</v>
      </c>
      <c r="G12" s="105">
        <f>662644.63-7282.6+1300</f>
        <v>656662.03</v>
      </c>
      <c r="H12" s="105">
        <v>195160.53</v>
      </c>
      <c r="I12" s="105">
        <f>90377.8-1000</f>
        <v>89377.8</v>
      </c>
      <c r="J12" s="120">
        <v>1366829.82</v>
      </c>
      <c r="K12" s="125">
        <f>SUM(L12:P12)</f>
        <v>1487458.49</v>
      </c>
      <c r="L12" s="105">
        <v>1177455.56</v>
      </c>
      <c r="M12" s="105">
        <v>101824.42</v>
      </c>
      <c r="N12" s="105">
        <v>8031.75</v>
      </c>
      <c r="O12" s="105">
        <f>104114-900-500</f>
        <v>102714</v>
      </c>
      <c r="P12" s="120">
        <v>97432.76</v>
      </c>
      <c r="Q12" s="125">
        <f t="shared" si="4"/>
        <v>434308.77</v>
      </c>
      <c r="R12" s="123">
        <v>276534.19</v>
      </c>
      <c r="S12" s="105">
        <v>11400</v>
      </c>
      <c r="T12" s="105">
        <v>4491.13</v>
      </c>
      <c r="U12" s="105">
        <f>70350-1100</f>
        <v>69250</v>
      </c>
      <c r="V12" s="132">
        <v>72633.45</v>
      </c>
    </row>
    <row r="13" spans="1:22" x14ac:dyDescent="0.3">
      <c r="A13" s="147"/>
      <c r="B13" s="136" t="s">
        <v>886</v>
      </c>
      <c r="C13" s="105">
        <f>E13+K13+Q13</f>
        <v>4119446.9499999997</v>
      </c>
      <c r="D13" s="120">
        <f t="shared" si="0"/>
        <v>4119446.9499999997</v>
      </c>
      <c r="E13" s="126">
        <f>SUM(F13:J13)</f>
        <v>2251908.0199999996</v>
      </c>
      <c r="F13" s="122">
        <v>214224.24</v>
      </c>
      <c r="G13" s="105">
        <f>502230.98-1800-1000-45.22-1300</f>
        <v>498085.76</v>
      </c>
      <c r="H13" s="105">
        <v>181.08</v>
      </c>
      <c r="I13" s="105">
        <f>83272.56-1900</f>
        <v>81372.56</v>
      </c>
      <c r="J13" s="120">
        <f>1555257.13-50000-40000-7212.75</f>
        <v>1458044.38</v>
      </c>
      <c r="K13" s="125">
        <f t="shared" ref="K13:K17" si="5">SUM(L13:P13)</f>
        <v>1246923.58</v>
      </c>
      <c r="L13" s="123">
        <v>1165667.7</v>
      </c>
      <c r="M13" s="105">
        <v>70416.070000000007</v>
      </c>
      <c r="N13" s="105">
        <v>8339.81</v>
      </c>
      <c r="O13" s="105">
        <f>3400-900</f>
        <v>2500</v>
      </c>
      <c r="P13" s="120"/>
      <c r="Q13" s="125">
        <f t="shared" si="4"/>
        <v>620615.35</v>
      </c>
      <c r="R13" s="123">
        <v>255263.49</v>
      </c>
      <c r="S13" s="105">
        <v>130452.24</v>
      </c>
      <c r="T13" s="105">
        <f>21730.62-11000</f>
        <v>10730.619999999999</v>
      </c>
      <c r="U13" s="105">
        <v>170</v>
      </c>
      <c r="V13" s="132">
        <v>223999</v>
      </c>
    </row>
    <row r="14" spans="1:22" x14ac:dyDescent="0.3">
      <c r="A14" s="147"/>
      <c r="B14" s="136" t="s">
        <v>887</v>
      </c>
      <c r="C14" s="105">
        <f t="shared" ref="C14:C17" si="6">E14+K14+Q14</f>
        <v>2584035.79</v>
      </c>
      <c r="D14" s="120">
        <f t="shared" si="0"/>
        <v>2584035.79</v>
      </c>
      <c r="E14" s="126">
        <f t="shared" ref="E14:E17" si="7">SUM(F14:J14)</f>
        <v>991849.40999999992</v>
      </c>
      <c r="F14" s="122">
        <v>213796.39</v>
      </c>
      <c r="G14" s="133">
        <v>234531.61</v>
      </c>
      <c r="H14" s="105">
        <v>4960.05</v>
      </c>
      <c r="I14" s="105">
        <v>802</v>
      </c>
      <c r="J14" s="120">
        <v>537759.36</v>
      </c>
      <c r="K14" s="125">
        <f t="shared" si="5"/>
        <v>1307558.43</v>
      </c>
      <c r="L14" s="123">
        <v>1168463.24</v>
      </c>
      <c r="M14" s="105">
        <v>88693.2</v>
      </c>
      <c r="N14" s="105"/>
      <c r="O14" s="105">
        <v>460</v>
      </c>
      <c r="P14" s="120">
        <v>49941.99</v>
      </c>
      <c r="Q14" s="125">
        <f t="shared" si="4"/>
        <v>284627.94999999995</v>
      </c>
      <c r="R14" s="123">
        <v>251709.96</v>
      </c>
      <c r="S14" s="105">
        <v>2917.99</v>
      </c>
      <c r="T14" s="105"/>
      <c r="U14" s="105"/>
      <c r="V14" s="132">
        <v>30000</v>
      </c>
    </row>
    <row r="15" spans="1:22" x14ac:dyDescent="0.3">
      <c r="A15" s="148"/>
      <c r="B15" s="136" t="s">
        <v>888</v>
      </c>
      <c r="C15" s="105">
        <f t="shared" si="6"/>
        <v>2004884.94</v>
      </c>
      <c r="D15" s="120">
        <f t="shared" si="0"/>
        <v>2004884.94</v>
      </c>
      <c r="E15" s="126">
        <f t="shared" si="7"/>
        <v>446147.55</v>
      </c>
      <c r="F15" s="122">
        <v>214000.65</v>
      </c>
      <c r="G15" s="105">
        <v>14000</v>
      </c>
      <c r="H15" s="105">
        <v>-1853.1</v>
      </c>
      <c r="I15" s="106"/>
      <c r="J15" s="121">
        <v>220000</v>
      </c>
      <c r="K15" s="125">
        <f t="shared" si="5"/>
        <v>1294477.79</v>
      </c>
      <c r="L15" s="123">
        <f>1177523.48-10231.99</f>
        <v>1167291.49</v>
      </c>
      <c r="M15" s="105">
        <v>107000</v>
      </c>
      <c r="N15" s="106"/>
      <c r="O15" s="106"/>
      <c r="P15" s="121">
        <v>20186.3</v>
      </c>
      <c r="Q15" s="125">
        <f t="shared" si="4"/>
        <v>264259.59999999998</v>
      </c>
      <c r="R15" s="123">
        <v>258606.61</v>
      </c>
      <c r="S15" s="105"/>
      <c r="T15" s="106">
        <v>5652.99</v>
      </c>
      <c r="U15" s="106"/>
      <c r="V15" s="134"/>
    </row>
    <row r="16" spans="1:22" x14ac:dyDescent="0.3">
      <c r="A16" s="148"/>
      <c r="B16" s="136" t="s">
        <v>889</v>
      </c>
      <c r="C16" s="105">
        <f t="shared" si="6"/>
        <v>3584422.34</v>
      </c>
      <c r="D16" s="120">
        <f t="shared" si="0"/>
        <v>3584422.34</v>
      </c>
      <c r="E16" s="126">
        <f t="shared" si="7"/>
        <v>1900250.12</v>
      </c>
      <c r="F16" s="122">
        <v>214082.69</v>
      </c>
      <c r="G16" s="105">
        <v>387036.19</v>
      </c>
      <c r="H16" s="105">
        <v>6594.06</v>
      </c>
      <c r="I16" s="106">
        <f>219394.64-2000</f>
        <v>217394.64</v>
      </c>
      <c r="J16" s="121">
        <v>1075142.54</v>
      </c>
      <c r="K16" s="125">
        <f t="shared" si="5"/>
        <v>1332706.68</v>
      </c>
      <c r="L16" s="123">
        <v>1167924.49</v>
      </c>
      <c r="M16" s="105">
        <v>91283.05</v>
      </c>
      <c r="N16" s="106">
        <v>21741.14</v>
      </c>
      <c r="O16" s="106"/>
      <c r="P16" s="121">
        <v>51758</v>
      </c>
      <c r="Q16" s="125">
        <f t="shared" si="4"/>
        <v>351465.54</v>
      </c>
      <c r="R16" s="123">
        <v>271062.17</v>
      </c>
      <c r="S16" s="105">
        <v>61204.87</v>
      </c>
      <c r="T16" s="106">
        <v>13331.95</v>
      </c>
      <c r="U16" s="106"/>
      <c r="V16" s="134">
        <v>5866.55</v>
      </c>
    </row>
    <row r="17" spans="1:22" x14ac:dyDescent="0.3">
      <c r="A17" s="148"/>
      <c r="B17" s="137" t="s">
        <v>890</v>
      </c>
      <c r="C17" s="106">
        <f t="shared" si="6"/>
        <v>1788279.9500000002</v>
      </c>
      <c r="D17" s="121">
        <f t="shared" si="0"/>
        <v>1788279.9500000002</v>
      </c>
      <c r="E17" s="126">
        <f t="shared" si="7"/>
        <v>321210.01999999996</v>
      </c>
      <c r="F17" s="124">
        <v>213193.07</v>
      </c>
      <c r="G17" s="106">
        <f>76860.07-180.6-41.69-500+1000</f>
        <v>77137.78</v>
      </c>
      <c r="H17" s="105">
        <v>1118.5</v>
      </c>
      <c r="I17" s="107">
        <v>29220</v>
      </c>
      <c r="J17" s="121">
        <v>540.66999999999996</v>
      </c>
      <c r="K17" s="125">
        <f t="shared" si="5"/>
        <v>1189048.79</v>
      </c>
      <c r="L17" s="129">
        <v>1165442.3</v>
      </c>
      <c r="M17" s="106">
        <f>18010.85-248.03</f>
        <v>17762.82</v>
      </c>
      <c r="N17" s="107">
        <v>5843.67</v>
      </c>
      <c r="O17" s="107"/>
      <c r="P17" s="127"/>
      <c r="Q17" s="125">
        <f t="shared" si="4"/>
        <v>278021.14</v>
      </c>
      <c r="R17" s="129">
        <v>270367.03000000003</v>
      </c>
      <c r="S17" s="105">
        <v>7654.11</v>
      </c>
      <c r="T17" s="107"/>
      <c r="U17" s="107"/>
      <c r="V17" s="135"/>
    </row>
    <row r="18" spans="1:22" x14ac:dyDescent="0.3">
      <c r="A18" s="149"/>
      <c r="B18" s="138" t="s">
        <v>891</v>
      </c>
      <c r="C18" s="108">
        <f>E18+K18+Q18</f>
        <v>42966383.190000005</v>
      </c>
      <c r="D18" s="108">
        <f>SUM(D6:D17)</f>
        <v>42966383.189999998</v>
      </c>
      <c r="E18" s="108">
        <f>SUM(E6:E17)</f>
        <v>20644198.34</v>
      </c>
      <c r="F18" s="108">
        <f>SUM(F6:F17)</f>
        <v>2562748.5299999998</v>
      </c>
      <c r="G18" s="108">
        <f>SUM(G6:G17)</f>
        <v>5897048.4800000004</v>
      </c>
      <c r="H18" s="108">
        <f>SUM(H6:H17)</f>
        <v>581806.05000000005</v>
      </c>
      <c r="I18" s="108">
        <f t="shared" ref="I18:J18" si="8">SUM(I6:I17)</f>
        <v>1007237.0000000001</v>
      </c>
      <c r="J18" s="108">
        <f t="shared" si="8"/>
        <v>10595358.279999999</v>
      </c>
      <c r="K18" s="108">
        <f>SUM(K6:K17)</f>
        <v>17441864.140000001</v>
      </c>
      <c r="L18" s="108">
        <f t="shared" ref="L18" si="9">SUM(L6:L17)</f>
        <v>15001506.65</v>
      </c>
      <c r="M18" s="108">
        <f>SUM(M6:M17)</f>
        <v>1002464.2000000001</v>
      </c>
      <c r="N18" s="108">
        <f t="shared" ref="N18:R18" si="10">SUM(N6:N17)</f>
        <v>82870.33</v>
      </c>
      <c r="O18" s="108">
        <f t="shared" si="10"/>
        <v>554174</v>
      </c>
      <c r="P18" s="128">
        <f t="shared" si="10"/>
        <v>800848.96000000008</v>
      </c>
      <c r="Q18" s="108">
        <f t="shared" si="10"/>
        <v>4880320.709999999</v>
      </c>
      <c r="R18" s="130">
        <f t="shared" si="10"/>
        <v>3194660.3499999996</v>
      </c>
      <c r="S18" s="108">
        <f>SUM(S6:S17)</f>
        <v>1098361.3600000001</v>
      </c>
      <c r="T18" s="108">
        <f t="shared" ref="T18:V18" si="11">SUM(T6:T17)</f>
        <v>55000</v>
      </c>
      <c r="U18" s="108">
        <f t="shared" si="11"/>
        <v>199800</v>
      </c>
      <c r="V18" s="108">
        <f t="shared" si="11"/>
        <v>332499</v>
      </c>
    </row>
    <row r="19" spans="1:22" x14ac:dyDescent="0.3">
      <c r="A19" s="146">
        <v>2025</v>
      </c>
      <c r="B19" s="136" t="s">
        <v>795</v>
      </c>
      <c r="C19" s="105">
        <f>E19+K19+Q19</f>
        <v>4042475.3899999997</v>
      </c>
      <c r="D19" s="120">
        <f t="shared" ref="D19:D30" si="12">+E19+K19+Q19</f>
        <v>4042475.3899999997</v>
      </c>
      <c r="E19" s="125">
        <f>SUM(F19:J19)</f>
        <v>1744620.2399999998</v>
      </c>
      <c r="F19" s="122">
        <v>240103.86</v>
      </c>
      <c r="G19" s="105">
        <v>1504516.38</v>
      </c>
      <c r="H19" s="105"/>
      <c r="I19" s="105"/>
      <c r="J19" s="120"/>
      <c r="K19" s="125">
        <f>SUM(L19:P19)</f>
        <v>1478896.85</v>
      </c>
      <c r="L19" s="123">
        <v>1269763.28</v>
      </c>
      <c r="M19" s="105">
        <v>208368.88</v>
      </c>
      <c r="N19" s="105">
        <v>764.69</v>
      </c>
      <c r="O19" s="105"/>
      <c r="P19" s="120"/>
      <c r="Q19" s="125">
        <f>SUM(R19:V19)</f>
        <v>818958.3</v>
      </c>
      <c r="R19" s="123">
        <v>272182.8</v>
      </c>
      <c r="S19" s="105">
        <v>546775.5</v>
      </c>
      <c r="T19" s="105"/>
      <c r="U19" s="105"/>
      <c r="V19" s="132"/>
    </row>
    <row r="20" spans="1:22" x14ac:dyDescent="0.3">
      <c r="A20" s="147"/>
      <c r="B20" s="136" t="s">
        <v>798</v>
      </c>
      <c r="C20" s="105">
        <f t="shared" ref="C20:C24" si="13">E20+K20+Q20</f>
        <v>10661044.91</v>
      </c>
      <c r="D20" s="120">
        <f t="shared" si="12"/>
        <v>10661044.91</v>
      </c>
      <c r="E20" s="126">
        <f t="shared" ref="E20:E24" si="14">SUM(F20:J20)</f>
        <v>7160610.6600000001</v>
      </c>
      <c r="F20" s="123">
        <v>252740.11</v>
      </c>
      <c r="G20" s="105">
        <f>1788720.46-1000</f>
        <v>1787720.46</v>
      </c>
      <c r="H20" s="105">
        <v>494302.85</v>
      </c>
      <c r="I20" s="105">
        <f>78334.16-950</f>
        <v>77384.160000000003</v>
      </c>
      <c r="J20" s="120">
        <f>4613905.38-65442.3</f>
        <v>4548463.08</v>
      </c>
      <c r="K20" s="125">
        <f t="shared" ref="K20:K22" si="15">SUM(L20:P20)</f>
        <v>2417829.64</v>
      </c>
      <c r="L20" s="123">
        <v>1269517.23</v>
      </c>
      <c r="M20" s="105">
        <v>256236.78</v>
      </c>
      <c r="N20" s="105">
        <v>17185.09</v>
      </c>
      <c r="O20" s="105">
        <v>499927.06</v>
      </c>
      <c r="P20" s="120">
        <v>374963.48</v>
      </c>
      <c r="Q20" s="125">
        <f t="shared" ref="Q20:Q30" si="16">SUM(R20:V20)</f>
        <v>1082604.6099999999</v>
      </c>
      <c r="R20" s="123">
        <v>275958.92</v>
      </c>
      <c r="S20" s="105">
        <f>375651.44-26849.7</f>
        <v>348801.74</v>
      </c>
      <c r="T20" s="105">
        <v>19999.95</v>
      </c>
      <c r="U20" s="105">
        <f>149944-2100</f>
        <v>147844</v>
      </c>
      <c r="V20" s="132">
        <v>290000</v>
      </c>
    </row>
    <row r="21" spans="1:22" x14ac:dyDescent="0.3">
      <c r="A21" s="147"/>
      <c r="B21" s="136" t="s">
        <v>892</v>
      </c>
      <c r="C21" s="105">
        <f t="shared" si="13"/>
        <v>4983677.92</v>
      </c>
      <c r="D21" s="120">
        <f t="shared" si="12"/>
        <v>4983677.92</v>
      </c>
      <c r="E21" s="126">
        <f t="shared" si="14"/>
        <v>2862431</v>
      </c>
      <c r="F21" s="122">
        <v>247897.33</v>
      </c>
      <c r="G21" s="105">
        <f>1173992.74-2722.5-14395.61+1000</f>
        <v>1157874.6299999999</v>
      </c>
      <c r="H21" s="105">
        <v>899.41</v>
      </c>
      <c r="I21" s="105">
        <f>436800.95-2000-700-1800</f>
        <v>432300.95</v>
      </c>
      <c r="J21" s="120">
        <f>1024644-1185.32</f>
        <v>1023458.68</v>
      </c>
      <c r="K21" s="125">
        <f t="shared" si="15"/>
        <v>1548856.43</v>
      </c>
      <c r="L21" s="123">
        <v>1274611.78</v>
      </c>
      <c r="M21" s="105">
        <v>256667.22</v>
      </c>
      <c r="N21" s="105">
        <v>17577.43</v>
      </c>
      <c r="O21" s="105"/>
      <c r="P21" s="120"/>
      <c r="Q21" s="125">
        <f t="shared" si="16"/>
        <v>572390.49</v>
      </c>
      <c r="R21" s="123">
        <v>270521.68</v>
      </c>
      <c r="S21" s="105">
        <f>102329.81-500</f>
        <v>101829.81</v>
      </c>
      <c r="T21" s="105"/>
      <c r="U21" s="105">
        <f>126840-800</f>
        <v>126040</v>
      </c>
      <c r="V21" s="132">
        <v>73999</v>
      </c>
    </row>
    <row r="22" spans="1:22" x14ac:dyDescent="0.3">
      <c r="A22" s="147"/>
      <c r="B22" s="136" t="s">
        <v>804</v>
      </c>
      <c r="C22" s="105">
        <f t="shared" si="13"/>
        <v>4231756.1899999995</v>
      </c>
      <c r="D22" s="120">
        <f t="shared" si="12"/>
        <v>4231756.1899999995</v>
      </c>
      <c r="E22" s="126">
        <f t="shared" si="14"/>
        <v>2391841.5499999998</v>
      </c>
      <c r="F22" s="122">
        <v>234349.09</v>
      </c>
      <c r="G22" s="105">
        <f>610595.66-500</f>
        <v>610095.66</v>
      </c>
      <c r="H22" s="105">
        <v>3397.39</v>
      </c>
      <c r="I22" s="105">
        <f>292427.7-2686.64</f>
        <v>289741.06</v>
      </c>
      <c r="J22" s="141">
        <v>1254258.3500000001</v>
      </c>
      <c r="K22" s="125">
        <f t="shared" si="15"/>
        <v>1367650.9100000001</v>
      </c>
      <c r="L22" s="123">
        <v>1275400.58</v>
      </c>
      <c r="M22" s="105">
        <v>77835.960000000006</v>
      </c>
      <c r="N22" s="105">
        <v>14414.37</v>
      </c>
      <c r="O22" s="105"/>
      <c r="P22" s="120"/>
      <c r="Q22" s="125">
        <f t="shared" si="16"/>
        <v>472263.72999999992</v>
      </c>
      <c r="R22" s="123">
        <v>276130.46999999997</v>
      </c>
      <c r="S22" s="105">
        <v>126297.49</v>
      </c>
      <c r="T22" s="105">
        <v>12706.54</v>
      </c>
      <c r="U22" s="105"/>
      <c r="V22" s="132">
        <v>57129.23</v>
      </c>
    </row>
    <row r="23" spans="1:22" x14ac:dyDescent="0.3">
      <c r="A23" s="147"/>
      <c r="B23" s="136" t="s">
        <v>806</v>
      </c>
      <c r="C23" s="105">
        <f t="shared" si="13"/>
        <v>4973543.25</v>
      </c>
      <c r="D23" s="120">
        <f t="shared" si="12"/>
        <v>4973543.25</v>
      </c>
      <c r="E23" s="126">
        <f t="shared" si="14"/>
        <v>2738687.27</v>
      </c>
      <c r="F23" s="122">
        <v>243046.07</v>
      </c>
      <c r="G23" s="105">
        <v>689565.2</v>
      </c>
      <c r="H23" s="105">
        <v>450.91</v>
      </c>
      <c r="I23" s="105">
        <v>2250</v>
      </c>
      <c r="J23" s="120">
        <v>1803375.09</v>
      </c>
      <c r="K23" s="125">
        <f>SUM(L23:P23)</f>
        <v>1942517.25</v>
      </c>
      <c r="L23" s="105">
        <v>1275017.97</v>
      </c>
      <c r="M23" s="105">
        <v>325466.23</v>
      </c>
      <c r="N23" s="105">
        <v>9761.67</v>
      </c>
      <c r="O23" s="105"/>
      <c r="P23" s="120">
        <v>332271.38</v>
      </c>
      <c r="Q23" s="125">
        <f t="shared" si="16"/>
        <v>292338.73000000004</v>
      </c>
      <c r="R23" s="123">
        <v>273409.76</v>
      </c>
      <c r="S23" s="105">
        <v>12335.59</v>
      </c>
      <c r="T23" s="105">
        <v>6593.38</v>
      </c>
      <c r="U23" s="105"/>
      <c r="V23" s="132"/>
    </row>
    <row r="24" spans="1:22" x14ac:dyDescent="0.3">
      <c r="A24" s="147"/>
      <c r="B24" s="136" t="s">
        <v>808</v>
      </c>
      <c r="C24" s="105">
        <f t="shared" si="13"/>
        <v>3408237.3000000003</v>
      </c>
      <c r="D24" s="120">
        <f t="shared" si="12"/>
        <v>3408237.3000000003</v>
      </c>
      <c r="E24" s="126">
        <f t="shared" si="14"/>
        <v>1669659.25</v>
      </c>
      <c r="F24" s="122">
        <v>244775.12</v>
      </c>
      <c r="G24" s="105">
        <v>535425.05000000005</v>
      </c>
      <c r="H24" s="105">
        <v>1443.81</v>
      </c>
      <c r="I24" s="105">
        <v>2000</v>
      </c>
      <c r="J24" s="120">
        <v>886015.27</v>
      </c>
      <c r="K24" s="125">
        <f>SUM(L24:P24)</f>
        <v>1367651.82</v>
      </c>
      <c r="L24" s="105">
        <v>1281045.3500000001</v>
      </c>
      <c r="M24" s="105">
        <v>78197.03</v>
      </c>
      <c r="N24" s="105">
        <v>8409.44</v>
      </c>
      <c r="O24" s="105"/>
      <c r="P24" s="120"/>
      <c r="Q24" s="125">
        <f t="shared" si="16"/>
        <v>370926.23</v>
      </c>
      <c r="R24" s="123">
        <v>270953.23</v>
      </c>
      <c r="S24" s="105">
        <v>99973</v>
      </c>
      <c r="T24" s="105"/>
      <c r="U24" s="105"/>
      <c r="V24" s="132"/>
    </row>
    <row r="25" spans="1:22" x14ac:dyDescent="0.3">
      <c r="A25" s="147"/>
      <c r="B25" s="136" t="s">
        <v>811</v>
      </c>
      <c r="C25" s="105">
        <f>E25+K25+Q25</f>
        <v>5387740.3200000003</v>
      </c>
      <c r="D25" s="120">
        <f t="shared" si="12"/>
        <v>5387740.3200000003</v>
      </c>
      <c r="E25" s="126">
        <f>SUM(F25:J25)</f>
        <v>2425830.67</v>
      </c>
      <c r="F25" s="122">
        <v>260994.63</v>
      </c>
      <c r="G25" s="105">
        <v>676932.78</v>
      </c>
      <c r="H25" s="105">
        <v>152677.29999999999</v>
      </c>
      <c r="I25" s="105">
        <v>149483.72</v>
      </c>
      <c r="J25" s="120">
        <v>1185742.24</v>
      </c>
      <c r="K25" s="125">
        <f>SUM(L25:P25)</f>
        <v>2331143.9500000002</v>
      </c>
      <c r="L25" s="105">
        <v>1384093.44</v>
      </c>
      <c r="M25" s="105">
        <v>283063.32</v>
      </c>
      <c r="N25" s="105">
        <v>43487.19</v>
      </c>
      <c r="O25" s="105">
        <v>549500</v>
      </c>
      <c r="P25" s="120">
        <v>71000</v>
      </c>
      <c r="Q25" s="125">
        <f t="shared" si="16"/>
        <v>630765.69999999995</v>
      </c>
      <c r="R25" s="123">
        <v>287968.48</v>
      </c>
      <c r="S25" s="105">
        <v>248017.22</v>
      </c>
      <c r="T25" s="105"/>
      <c r="U25" s="105">
        <v>94780</v>
      </c>
      <c r="V25" s="132"/>
    </row>
    <row r="26" spans="1:22" x14ac:dyDescent="0.3">
      <c r="A26" s="147"/>
      <c r="B26" s="136" t="s">
        <v>814</v>
      </c>
      <c r="C26" s="105">
        <f>E26+K26+Q26</f>
        <v>2719258.1799999997</v>
      </c>
      <c r="D26" s="120">
        <f t="shared" si="12"/>
        <v>2719258.1799999997</v>
      </c>
      <c r="E26" s="126">
        <f>SUM(F26:J26)</f>
        <v>953700.14999999991</v>
      </c>
      <c r="F26" s="122">
        <v>272431.42</v>
      </c>
      <c r="G26" s="105">
        <v>281671.43</v>
      </c>
      <c r="H26" s="105">
        <v>7108.43</v>
      </c>
      <c r="I26" s="105">
        <v>5322.94</v>
      </c>
      <c r="J26" s="120">
        <v>387165.92999999993</v>
      </c>
      <c r="K26" s="125">
        <f t="shared" ref="K26:K30" si="17">SUM(L26:P26)</f>
        <v>1437380.32</v>
      </c>
      <c r="L26" s="123">
        <v>1377127.17</v>
      </c>
      <c r="M26" s="105">
        <v>58584.1</v>
      </c>
      <c r="N26" s="105">
        <v>1669.05</v>
      </c>
      <c r="O26" s="105"/>
      <c r="P26" s="120"/>
      <c r="Q26" s="125">
        <f t="shared" si="16"/>
        <v>328177.71000000002</v>
      </c>
      <c r="R26" s="123">
        <v>282765.42</v>
      </c>
      <c r="S26" s="105">
        <v>41675.879999999997</v>
      </c>
      <c r="T26" s="105">
        <v>865.64</v>
      </c>
      <c r="U26" s="105"/>
      <c r="V26" s="132">
        <v>2870.77</v>
      </c>
    </row>
    <row r="27" spans="1:22" x14ac:dyDescent="0.3">
      <c r="A27" s="147"/>
      <c r="B27" s="136" t="s">
        <v>817</v>
      </c>
      <c r="C27" s="105">
        <f t="shared" ref="C27:C30" si="18">E27+K27+Q27</f>
        <v>0</v>
      </c>
      <c r="D27" s="120">
        <f t="shared" si="12"/>
        <v>0</v>
      </c>
      <c r="E27" s="126">
        <f t="shared" ref="E27:E30" si="19">SUM(F27:J27)</f>
        <v>0</v>
      </c>
      <c r="F27" s="122"/>
      <c r="G27" s="133"/>
      <c r="H27" s="105"/>
      <c r="I27" s="105"/>
      <c r="J27" s="120"/>
      <c r="K27" s="125">
        <f t="shared" si="17"/>
        <v>0</v>
      </c>
      <c r="L27" s="123"/>
      <c r="M27" s="105"/>
      <c r="N27" s="105"/>
      <c r="O27" s="105"/>
      <c r="P27" s="120"/>
      <c r="Q27" s="125">
        <f t="shared" si="16"/>
        <v>0</v>
      </c>
      <c r="R27" s="123"/>
      <c r="S27" s="105"/>
      <c r="T27" s="105"/>
      <c r="U27" s="105"/>
      <c r="V27" s="132"/>
    </row>
    <row r="28" spans="1:22" x14ac:dyDescent="0.3">
      <c r="A28" s="148"/>
      <c r="B28" s="136" t="s">
        <v>820</v>
      </c>
      <c r="C28" s="105">
        <f t="shared" si="18"/>
        <v>0</v>
      </c>
      <c r="D28" s="120">
        <f t="shared" si="12"/>
        <v>0</v>
      </c>
      <c r="E28" s="126">
        <f t="shared" si="19"/>
        <v>0</v>
      </c>
      <c r="F28" s="122"/>
      <c r="G28" s="105"/>
      <c r="H28" s="105"/>
      <c r="I28" s="106"/>
      <c r="J28" s="121"/>
      <c r="K28" s="125">
        <f t="shared" si="17"/>
        <v>0</v>
      </c>
      <c r="L28" s="123"/>
      <c r="M28" s="105"/>
      <c r="N28" s="106"/>
      <c r="O28" s="106"/>
      <c r="P28" s="121"/>
      <c r="Q28" s="125">
        <f t="shared" si="16"/>
        <v>0</v>
      </c>
      <c r="R28" s="123"/>
      <c r="S28" s="105"/>
      <c r="T28" s="106"/>
      <c r="U28" s="106"/>
      <c r="V28" s="134"/>
    </row>
    <row r="29" spans="1:22" x14ac:dyDescent="0.3">
      <c r="A29" s="148"/>
      <c r="B29" s="136" t="s">
        <v>893</v>
      </c>
      <c r="C29" s="105">
        <f t="shared" si="18"/>
        <v>0</v>
      </c>
      <c r="D29" s="120">
        <f t="shared" si="12"/>
        <v>0</v>
      </c>
      <c r="E29" s="126">
        <f t="shared" si="19"/>
        <v>0</v>
      </c>
      <c r="F29" s="122"/>
      <c r="G29" s="105"/>
      <c r="H29" s="105"/>
      <c r="I29" s="106"/>
      <c r="J29" s="121"/>
      <c r="K29" s="125">
        <f t="shared" si="17"/>
        <v>0</v>
      </c>
      <c r="L29" s="123"/>
      <c r="M29" s="105"/>
      <c r="N29" s="106"/>
      <c r="O29" s="106"/>
      <c r="P29" s="121"/>
      <c r="Q29" s="125">
        <f t="shared" si="16"/>
        <v>0</v>
      </c>
      <c r="R29" s="123"/>
      <c r="S29" s="105"/>
      <c r="T29" s="106"/>
      <c r="U29" s="106"/>
      <c r="V29" s="134"/>
    </row>
    <row r="30" spans="1:22" x14ac:dyDescent="0.3">
      <c r="A30" s="148"/>
      <c r="B30" s="137" t="s">
        <v>826</v>
      </c>
      <c r="C30" s="106">
        <f t="shared" si="18"/>
        <v>0</v>
      </c>
      <c r="D30" s="121">
        <f t="shared" si="12"/>
        <v>0</v>
      </c>
      <c r="E30" s="126">
        <f t="shared" si="19"/>
        <v>0</v>
      </c>
      <c r="F30" s="124"/>
      <c r="G30" s="106"/>
      <c r="H30" s="105"/>
      <c r="I30" s="107"/>
      <c r="J30" s="121"/>
      <c r="K30" s="125">
        <f t="shared" si="17"/>
        <v>0</v>
      </c>
      <c r="L30" s="129"/>
      <c r="M30" s="106"/>
      <c r="N30" s="107"/>
      <c r="O30" s="107"/>
      <c r="P30" s="127"/>
      <c r="Q30" s="125">
        <f t="shared" si="16"/>
        <v>0</v>
      </c>
      <c r="R30" s="129"/>
      <c r="S30" s="105"/>
      <c r="T30" s="107"/>
      <c r="U30" s="107"/>
      <c r="V30" s="135"/>
    </row>
    <row r="31" spans="1:22" x14ac:dyDescent="0.3">
      <c r="A31" s="149"/>
      <c r="B31" s="138" t="s">
        <v>794</v>
      </c>
      <c r="C31" s="108">
        <f>E31+K31+Q31</f>
        <v>40407733.460000001</v>
      </c>
      <c r="D31" s="108">
        <f>SUM(D19:D30)</f>
        <v>40407733.460000001</v>
      </c>
      <c r="E31" s="108">
        <f>SUM(E19:E30)</f>
        <v>21947380.789999999</v>
      </c>
      <c r="F31" s="108">
        <f>SUM(F19:F30)</f>
        <v>1996337.63</v>
      </c>
      <c r="G31" s="108">
        <f>SUM(G19:G30)</f>
        <v>7243801.5899999999</v>
      </c>
      <c r="H31" s="108">
        <f>SUM(H19:H30)</f>
        <v>660280.1</v>
      </c>
      <c r="I31" s="108">
        <f t="shared" ref="I31:J31" si="20">SUM(I19:I30)</f>
        <v>958482.82999999984</v>
      </c>
      <c r="J31" s="108">
        <f t="shared" si="20"/>
        <v>11088478.639999999</v>
      </c>
      <c r="K31" s="108">
        <f>SUM(K19:K30)</f>
        <v>13891927.170000002</v>
      </c>
      <c r="L31" s="108">
        <f t="shared" ref="L31" si="21">SUM(L19:L30)</f>
        <v>10406576.799999999</v>
      </c>
      <c r="M31" s="108">
        <f>SUM(M19:M30)</f>
        <v>1544419.52</v>
      </c>
      <c r="N31" s="108">
        <f t="shared" ref="N31:R31" si="22">SUM(N19:N30)</f>
        <v>113268.93000000001</v>
      </c>
      <c r="O31" s="108">
        <f t="shared" si="22"/>
        <v>1049427.06</v>
      </c>
      <c r="P31" s="128">
        <f t="shared" si="22"/>
        <v>778234.86</v>
      </c>
      <c r="Q31" s="108">
        <f t="shared" si="22"/>
        <v>4568425.5</v>
      </c>
      <c r="R31" s="130">
        <f t="shared" si="22"/>
        <v>2209890.7599999998</v>
      </c>
      <c r="S31" s="108">
        <f>SUM(S19:S30)</f>
        <v>1525706.23</v>
      </c>
      <c r="T31" s="108">
        <f t="shared" ref="T31:V31" si="23">SUM(T19:T30)</f>
        <v>40165.51</v>
      </c>
      <c r="U31" s="108">
        <f t="shared" si="23"/>
        <v>368664</v>
      </c>
      <c r="V31" s="108">
        <f t="shared" si="23"/>
        <v>423999</v>
      </c>
    </row>
    <row r="36" spans="6:10" x14ac:dyDescent="0.3">
      <c r="F36" s="142"/>
      <c r="G36" s="142"/>
      <c r="H36" s="142"/>
      <c r="I36" s="142"/>
      <c r="J36" s="142"/>
    </row>
    <row r="37" spans="6:10" x14ac:dyDescent="0.3">
      <c r="F37" s="142"/>
      <c r="G37" s="142"/>
      <c r="H37" s="142"/>
      <c r="I37" s="142"/>
      <c r="J37" s="142"/>
    </row>
    <row r="38" spans="6:10" x14ac:dyDescent="0.3">
      <c r="G38" s="142"/>
      <c r="J38" s="142"/>
    </row>
    <row r="39" spans="6:10" x14ac:dyDescent="0.3">
      <c r="G39" s="142"/>
      <c r="J39" s="142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10" activePane="bottomRight" state="frozen"/>
      <selection pane="topRight" activeCell="C1" sqref="C1"/>
      <selection pane="bottomLeft" activeCell="A9" sqref="A9"/>
      <selection pane="bottomRight" activeCell="C29" sqref="C29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4.218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85" t="s">
        <v>876</v>
      </c>
      <c r="B2" s="86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87" t="str">
        <f>IF([2]L!$A$1=1,[2]L!G8,IF([2]L!$A$1=2,[2]L!G18,[2]L!G28))</f>
        <v>Viti</v>
      </c>
      <c r="B3" s="87" t="str">
        <f>IF([2]L!$A$1=1,[2]L!H8,IF([2]L!$A$1=2,[2]L!H18,[2]L!H28))</f>
        <v>Viti / Muaji</v>
      </c>
      <c r="C3" s="88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89" t="s">
        <v>870</v>
      </c>
      <c r="F3" s="90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57">
        <v>2024</v>
      </c>
      <c r="B4" s="5" t="s">
        <v>879</v>
      </c>
      <c r="C4" s="98">
        <f t="shared" ref="C4" si="0">D4+E4+F4+G4+H4+I4+J4+K4+L4</f>
        <v>607961.59</v>
      </c>
      <c r="D4" s="109">
        <v>201399.53</v>
      </c>
      <c r="E4" s="110">
        <v>193426.4</v>
      </c>
      <c r="F4" s="112"/>
      <c r="G4" s="111">
        <f>8036+1271+84+10+81</f>
        <v>9482</v>
      </c>
      <c r="H4" s="111">
        <f>67135+10795</f>
        <v>77930</v>
      </c>
      <c r="I4" s="102">
        <v>25690</v>
      </c>
      <c r="J4" s="116">
        <v>11881.5</v>
      </c>
      <c r="K4" s="93">
        <f>10443.6+7990.5+8</f>
        <v>18442.099999999999</v>
      </c>
      <c r="L4" s="96">
        <f>450+800+85+25553.95+639+1839.89+34170+114+1515.27+630+398.75+2017.2+1497</f>
        <v>69710.059999999983</v>
      </c>
    </row>
    <row r="5" spans="1:12" s="3" customFormat="1" x14ac:dyDescent="0.3">
      <c r="A5" s="157"/>
      <c r="B5" s="5" t="s">
        <v>880</v>
      </c>
      <c r="C5" s="98">
        <f>D5+E5+G5+H5+I5+J5+K5+L5</f>
        <v>449623.7</v>
      </c>
      <c r="D5" s="100">
        <v>130632.02</v>
      </c>
      <c r="E5" s="101">
        <v>142124.79999999999</v>
      </c>
      <c r="F5" s="112"/>
      <c r="G5" s="102">
        <f>5832+1025+62+65</f>
        <v>6984</v>
      </c>
      <c r="H5" s="102">
        <f>58340+16205</f>
        <v>74545</v>
      </c>
      <c r="I5" s="102">
        <v>24965</v>
      </c>
      <c r="J5" s="103">
        <v>13493.5</v>
      </c>
      <c r="K5" s="93">
        <f>19862.5+1150+26</f>
        <v>21038.5</v>
      </c>
      <c r="L5" s="96">
        <f>150+650+205+10358.29+589+600.95+19774+152+1555.09+1250+8.55+548</f>
        <v>35840.880000000005</v>
      </c>
    </row>
    <row r="6" spans="1:12" s="3" customFormat="1" x14ac:dyDescent="0.3">
      <c r="A6" s="157"/>
      <c r="B6" s="5" t="s">
        <v>881</v>
      </c>
      <c r="C6" s="98">
        <f t="shared" ref="C6:C14" si="1">D6+E6+F6+G6+H6+I6+J6+K6+L6</f>
        <v>490686.26</v>
      </c>
      <c r="D6" s="100">
        <v>153340.85999999999</v>
      </c>
      <c r="E6" s="101">
        <v>124439.78</v>
      </c>
      <c r="F6" s="112"/>
      <c r="G6" s="102">
        <f>4951+650+93+11+88</f>
        <v>5793</v>
      </c>
      <c r="H6" s="102">
        <f>55666+9685</f>
        <v>65351</v>
      </c>
      <c r="I6" s="102">
        <v>28090</v>
      </c>
      <c r="J6" s="103">
        <v>10428</v>
      </c>
      <c r="K6" s="104">
        <f>19209.9+295+17</f>
        <v>19521.900000000001</v>
      </c>
      <c r="L6" s="96">
        <f>201+3500+375+22632.97+560+729.7+30938+179+779.45+18144+4150+1532.6</f>
        <v>83721.72</v>
      </c>
    </row>
    <row r="7" spans="1:12" s="3" customFormat="1" x14ac:dyDescent="0.3">
      <c r="A7" s="157"/>
      <c r="B7" s="5" t="s">
        <v>882</v>
      </c>
      <c r="C7" s="98">
        <f t="shared" si="1"/>
        <v>783924.6399999999</v>
      </c>
      <c r="D7" s="100">
        <v>315713.5</v>
      </c>
      <c r="E7" s="101">
        <v>214564.97</v>
      </c>
      <c r="F7" s="112"/>
      <c r="G7" s="102">
        <f>6745+858+109+89</f>
        <v>7801</v>
      </c>
      <c r="H7" s="102">
        <f>126960+9300</f>
        <v>136260</v>
      </c>
      <c r="I7" s="102">
        <v>29335</v>
      </c>
      <c r="J7" s="103">
        <v>10817.5</v>
      </c>
      <c r="K7" s="104">
        <f>15875.6+236+16</f>
        <v>16127.6</v>
      </c>
      <c r="L7" s="96">
        <f>270+180+3994.65+711+617.46+28548+287+5043.96+12055+1000+250+348</f>
        <v>53305.07</v>
      </c>
    </row>
    <row r="8" spans="1:12" s="3" customFormat="1" x14ac:dyDescent="0.3">
      <c r="A8" s="157"/>
      <c r="B8" s="5" t="s">
        <v>883</v>
      </c>
      <c r="C8" s="98">
        <f t="shared" si="1"/>
        <v>586701.96</v>
      </c>
      <c r="D8" s="100">
        <v>183468.15</v>
      </c>
      <c r="E8" s="101">
        <v>136361.15</v>
      </c>
      <c r="F8" s="112"/>
      <c r="G8" s="102">
        <f>7073+763+68+83</f>
        <v>7987</v>
      </c>
      <c r="H8" s="117">
        <f>118475+12800</f>
        <v>131275</v>
      </c>
      <c r="I8" s="102">
        <v>31270</v>
      </c>
      <c r="J8" s="103">
        <v>10830.5</v>
      </c>
      <c r="K8" s="93">
        <f>25194.2+231+10</f>
        <v>25435.200000000001</v>
      </c>
      <c r="L8" s="96">
        <f>320+500+165+4147.15+1153+2972.35+35753.25+111+4542.71+7231+1450+1729.5</f>
        <v>60074.96</v>
      </c>
    </row>
    <row r="9" spans="1:12" s="3" customFormat="1" x14ac:dyDescent="0.3">
      <c r="A9" s="157"/>
      <c r="B9" s="5" t="s">
        <v>884</v>
      </c>
      <c r="C9" s="98">
        <f t="shared" si="1"/>
        <v>450836.84</v>
      </c>
      <c r="D9" s="100">
        <v>82672.710000000006</v>
      </c>
      <c r="E9" s="101">
        <v>100072.69</v>
      </c>
      <c r="F9" s="140"/>
      <c r="G9" s="102">
        <f>5991+706+261+23+51</f>
        <v>7032</v>
      </c>
      <c r="H9" s="102">
        <f>94321+9335</f>
        <v>103656</v>
      </c>
      <c r="I9" s="102">
        <v>31745</v>
      </c>
      <c r="J9" s="103">
        <v>9167</v>
      </c>
      <c r="K9" s="93">
        <f>19332.5+125+6</f>
        <v>19463.5</v>
      </c>
      <c r="L9" s="96">
        <f>332+1500+140+2734.65+725+595.8+27847+33+16373.49+46048+250+449</f>
        <v>97027.94</v>
      </c>
    </row>
    <row r="10" spans="1:12" s="3" customFormat="1" x14ac:dyDescent="0.3">
      <c r="A10" s="157"/>
      <c r="B10" s="5" t="s">
        <v>885</v>
      </c>
      <c r="C10" s="98">
        <f t="shared" si="1"/>
        <v>657362.71000000008</v>
      </c>
      <c r="D10" s="100">
        <v>116891.37</v>
      </c>
      <c r="E10" s="101">
        <v>216421.95</v>
      </c>
      <c r="F10" s="112"/>
      <c r="G10" s="102">
        <f>8338+765+194+144+255</f>
        <v>9696</v>
      </c>
      <c r="H10" s="102">
        <f>163205+9070</f>
        <v>172275</v>
      </c>
      <c r="I10" s="102">
        <v>41380</v>
      </c>
      <c r="J10" s="103">
        <v>11232</v>
      </c>
      <c r="K10" s="93">
        <f>8110+67+3</f>
        <v>8180</v>
      </c>
      <c r="L10" s="96">
        <f>660+4000+150+275+8180.67+1200+1055+41970+339+21131.42+300+1791.3+135+99</f>
        <v>81286.39</v>
      </c>
    </row>
    <row r="11" spans="1:12" s="3" customFormat="1" x14ac:dyDescent="0.3">
      <c r="A11" s="157"/>
      <c r="B11" s="5" t="s">
        <v>886</v>
      </c>
      <c r="C11" s="98">
        <f t="shared" si="1"/>
        <v>712002.31</v>
      </c>
      <c r="D11" s="100">
        <v>227321.87</v>
      </c>
      <c r="E11" s="101">
        <v>158940.93</v>
      </c>
      <c r="F11" s="112"/>
      <c r="G11" s="102">
        <f>9383+1045+411+301+157</f>
        <v>11297</v>
      </c>
      <c r="H11" s="102">
        <f>170471+10710</f>
        <v>181181</v>
      </c>
      <c r="I11" s="102">
        <v>34785</v>
      </c>
      <c r="J11" s="103">
        <v>14154.5</v>
      </c>
      <c r="K11" s="93">
        <f>1920+85+4</f>
        <v>2009</v>
      </c>
      <c r="L11" s="96">
        <f>220+1650+245+11052+391+171.3+43475+145+2616.71+21258+575+165+349</f>
        <v>82313.010000000009</v>
      </c>
    </row>
    <row r="12" spans="1:12" s="3" customFormat="1" x14ac:dyDescent="0.3">
      <c r="A12" s="157"/>
      <c r="B12" s="5" t="s">
        <v>887</v>
      </c>
      <c r="C12" s="98">
        <f t="shared" si="1"/>
        <v>798218.92</v>
      </c>
      <c r="D12" s="100">
        <v>223123.96</v>
      </c>
      <c r="E12" s="101">
        <v>236536.06</v>
      </c>
      <c r="F12" s="112"/>
      <c r="G12" s="102">
        <f>6140+774+215+62+122</f>
        <v>7313</v>
      </c>
      <c r="H12" s="102">
        <f>123471+11470</f>
        <v>134941</v>
      </c>
      <c r="I12" s="102">
        <v>30960</v>
      </c>
      <c r="J12" s="103">
        <v>10039.5</v>
      </c>
      <c r="K12" s="104">
        <f>18408+95+50</f>
        <v>18553</v>
      </c>
      <c r="L12" s="96">
        <f>554+6678+1125+165+13155.13+560+79.27+23566+33+89603+1100+35+99</f>
        <v>136752.4</v>
      </c>
    </row>
    <row r="13" spans="1:12" s="3" customFormat="1" x14ac:dyDescent="0.3">
      <c r="A13" s="157"/>
      <c r="B13" s="5" t="s">
        <v>888</v>
      </c>
      <c r="C13" s="98">
        <f t="shared" si="1"/>
        <v>678779.84</v>
      </c>
      <c r="D13" s="100">
        <v>151136.6</v>
      </c>
      <c r="E13" s="101">
        <v>253104.71</v>
      </c>
      <c r="F13" s="112"/>
      <c r="G13" s="118">
        <f>5567+740+207+151+91</f>
        <v>6756</v>
      </c>
      <c r="H13" s="102">
        <f>140292+13725</f>
        <v>154017</v>
      </c>
      <c r="I13" s="102">
        <v>34640</v>
      </c>
      <c r="J13" s="103">
        <v>11368</v>
      </c>
      <c r="K13" s="93">
        <f>20121.2+105+1</f>
        <v>20227.2</v>
      </c>
      <c r="L13" s="112">
        <f>150+1600+270+4299.47+520+530.66+28787+54+1978.7+7850.5+1250+240</f>
        <v>47530.329999999994</v>
      </c>
    </row>
    <row r="14" spans="1:12" s="3" customFormat="1" x14ac:dyDescent="0.3">
      <c r="A14" s="157"/>
      <c r="B14" s="5" t="s">
        <v>889</v>
      </c>
      <c r="C14" s="98">
        <f t="shared" si="1"/>
        <v>512909.44</v>
      </c>
      <c r="D14" s="119">
        <v>95574.97</v>
      </c>
      <c r="E14" s="99">
        <v>177651.33</v>
      </c>
      <c r="F14" s="119"/>
      <c r="G14" s="119">
        <f>4820+519+462+133+81</f>
        <v>6015</v>
      </c>
      <c r="H14" s="97">
        <f>116001+9155</f>
        <v>125156</v>
      </c>
      <c r="I14" s="97">
        <v>29275</v>
      </c>
      <c r="J14" s="97">
        <v>8900.5</v>
      </c>
      <c r="K14" s="97">
        <f>19285.2+106</f>
        <v>19391.2</v>
      </c>
      <c r="L14" s="119">
        <f>640+150+330+2307.49+792+403.25+23505+14+1466.7+20638+350+349</f>
        <v>50945.440000000002</v>
      </c>
    </row>
    <row r="15" spans="1:12" s="3" customFormat="1" x14ac:dyDescent="0.3">
      <c r="A15" s="157"/>
      <c r="B15" s="5" t="s">
        <v>890</v>
      </c>
      <c r="C15" s="98">
        <f t="shared" ref="C15" si="2">SUM(D15:L15)</f>
        <v>937100.91</v>
      </c>
      <c r="D15" s="119">
        <v>260938.58</v>
      </c>
      <c r="E15" s="119">
        <v>435890.91</v>
      </c>
      <c r="F15" s="119"/>
      <c r="G15" s="119">
        <f>8274+773+139+219+88</f>
        <v>9493</v>
      </c>
      <c r="H15" s="97">
        <f>110455+7430</f>
        <v>117885</v>
      </c>
      <c r="I15" s="97">
        <v>30185</v>
      </c>
      <c r="J15" s="97">
        <v>12899.5</v>
      </c>
      <c r="K15" s="97">
        <f>20377.3+92+3</f>
        <v>20472.3</v>
      </c>
      <c r="L15" s="119">
        <f>550+1300+245+6051.65+448+1222.54+24539+34+2007.13+11875+916.3+25+123</f>
        <v>49336.62</v>
      </c>
    </row>
    <row r="16" spans="1:12" s="3" customFormat="1" x14ac:dyDescent="0.3">
      <c r="A16" s="157"/>
      <c r="B16" s="6" t="s">
        <v>891</v>
      </c>
      <c r="C16" s="95">
        <f>SUM(C4:C15)</f>
        <v>7666109.1200000001</v>
      </c>
      <c r="D16" s="95">
        <f t="shared" ref="D16:L16" si="3">SUM(D4:D15)</f>
        <v>2142214.12</v>
      </c>
      <c r="E16" s="95">
        <f t="shared" si="3"/>
        <v>2389535.6800000002</v>
      </c>
      <c r="F16" s="92">
        <f t="shared" si="3"/>
        <v>0</v>
      </c>
      <c r="G16" s="95">
        <f t="shared" si="3"/>
        <v>95649</v>
      </c>
      <c r="H16" s="95">
        <f t="shared" si="3"/>
        <v>1474472</v>
      </c>
      <c r="I16" s="95">
        <f t="shared" si="3"/>
        <v>372320</v>
      </c>
      <c r="J16" s="95">
        <f t="shared" si="3"/>
        <v>135212</v>
      </c>
      <c r="K16" s="95">
        <f t="shared" si="3"/>
        <v>208861.5</v>
      </c>
      <c r="L16" s="94">
        <f t="shared" si="3"/>
        <v>847844.82</v>
      </c>
    </row>
    <row r="17" spans="1:12" s="3" customFormat="1" x14ac:dyDescent="0.3">
      <c r="A17" s="157">
        <v>2025</v>
      </c>
      <c r="B17" s="5" t="s">
        <v>795</v>
      </c>
      <c r="C17" s="98">
        <f t="shared" ref="C17" si="4">D17+E17+F17+G17+H17+I17+J17+K17+L17</f>
        <v>1152096.77</v>
      </c>
      <c r="D17" s="109">
        <v>84018.04</v>
      </c>
      <c r="E17" s="110">
        <v>840407.8</v>
      </c>
      <c r="F17" s="112"/>
      <c r="G17" s="111">
        <f>5072+791+138+52+51</f>
        <v>6104</v>
      </c>
      <c r="H17" s="111">
        <f>8920+110506</f>
        <v>119426</v>
      </c>
      <c r="I17" s="102">
        <v>29005</v>
      </c>
      <c r="J17" s="116">
        <v>10021</v>
      </c>
      <c r="K17" s="93">
        <f>10906.4+51+5</f>
        <v>10962.4</v>
      </c>
      <c r="L17" s="96">
        <f>720+100+180+9624.28+185+448.23+22922+22+2485.52+14500+375+449+141.5</f>
        <v>52152.53</v>
      </c>
    </row>
    <row r="18" spans="1:12" s="3" customFormat="1" x14ac:dyDescent="0.3">
      <c r="A18" s="157"/>
      <c r="B18" s="5" t="s">
        <v>798</v>
      </c>
      <c r="C18" s="98">
        <f>D18+E18+G18+H18+I18+J18+K18+L18</f>
        <v>2737010.6900000004</v>
      </c>
      <c r="D18" s="100">
        <v>204953.79</v>
      </c>
      <c r="E18" s="101">
        <v>2148865.83</v>
      </c>
      <c r="F18" s="112"/>
      <c r="G18" s="102">
        <f>4509+820+129+90+44</f>
        <v>5592</v>
      </c>
      <c r="H18" s="102">
        <f>112150+8080</f>
        <v>120230</v>
      </c>
      <c r="I18" s="102">
        <v>26585</v>
      </c>
      <c r="J18" s="103">
        <v>10560</v>
      </c>
      <c r="K18" s="93">
        <f>19344.2+47</f>
        <v>19391.2</v>
      </c>
      <c r="L18" s="96">
        <f>550+617.2+125+3510.5+310+337.27+16848+59+1091.49+176685.41+699</f>
        <v>200832.87</v>
      </c>
    </row>
    <row r="19" spans="1:12" s="3" customFormat="1" x14ac:dyDescent="0.3">
      <c r="A19" s="157"/>
      <c r="B19" s="5" t="s">
        <v>892</v>
      </c>
      <c r="C19" s="98">
        <f t="shared" ref="C19:C27" si="5">D19+E19+F19+G19+H19+I19+J19+K19+L19</f>
        <v>839620.45</v>
      </c>
      <c r="D19" s="100">
        <v>188318.22</v>
      </c>
      <c r="E19" s="101">
        <v>428468.66</v>
      </c>
      <c r="F19" s="112"/>
      <c r="G19" s="102">
        <f>3974+481+55+104</f>
        <v>4614</v>
      </c>
      <c r="H19" s="102">
        <f>112505+10950</f>
        <v>123455</v>
      </c>
      <c r="I19" s="102">
        <v>29970</v>
      </c>
      <c r="J19" s="103">
        <v>9541</v>
      </c>
      <c r="K19" s="104">
        <f>18011.5+139+1</f>
        <v>18151.5</v>
      </c>
      <c r="L19" s="96">
        <f>300+1000+215+3306.15+601+187.36+17240+14+5366.15+3838+750+40+499+2028.41+1717</f>
        <v>37102.07</v>
      </c>
    </row>
    <row r="20" spans="1:12" s="3" customFormat="1" x14ac:dyDescent="0.3">
      <c r="A20" s="157"/>
      <c r="B20" s="5" t="s">
        <v>804</v>
      </c>
      <c r="C20" s="98">
        <f t="shared" si="5"/>
        <v>831943.49999999988</v>
      </c>
      <c r="D20" s="100">
        <v>513546.66</v>
      </c>
      <c r="E20" s="101">
        <v>83645.16</v>
      </c>
      <c r="F20" s="112"/>
      <c r="G20" s="102">
        <f>5532+680+74+60</f>
        <v>6346</v>
      </c>
      <c r="H20" s="102">
        <v>136003.48000000001</v>
      </c>
      <c r="I20" s="102">
        <v>34145</v>
      </c>
      <c r="J20" s="103">
        <v>10207.5</v>
      </c>
      <c r="K20" s="104">
        <f>10995+510</f>
        <v>11505</v>
      </c>
      <c r="L20" s="96">
        <f>320+875+310+5360.3+781+61.3+8823.94+1124+400+30+15733+828+1898.16</f>
        <v>36544.700000000004</v>
      </c>
    </row>
    <row r="21" spans="1:12" s="3" customFormat="1" x14ac:dyDescent="0.3">
      <c r="A21" s="157"/>
      <c r="B21" s="5" t="s">
        <v>806</v>
      </c>
      <c r="C21" s="98">
        <f t="shared" si="5"/>
        <v>645025.38</v>
      </c>
      <c r="D21" s="100">
        <v>280332.61</v>
      </c>
      <c r="E21" s="101">
        <v>144691.49</v>
      </c>
      <c r="F21" s="112"/>
      <c r="G21" s="102">
        <v>7829</v>
      </c>
      <c r="H21" s="117">
        <v>125890</v>
      </c>
      <c r="I21" s="102">
        <v>33475</v>
      </c>
      <c r="J21" s="103">
        <v>10187</v>
      </c>
      <c r="K21" s="93">
        <v>206</v>
      </c>
      <c r="L21" s="143">
        <v>42414.28</v>
      </c>
    </row>
    <row r="22" spans="1:12" s="3" customFormat="1" x14ac:dyDescent="0.3">
      <c r="A22" s="157"/>
      <c r="B22" s="5" t="s">
        <v>808</v>
      </c>
      <c r="C22" s="98">
        <f t="shared" si="5"/>
        <v>549950.89</v>
      </c>
      <c r="D22" s="100">
        <v>143852.5</v>
      </c>
      <c r="E22" s="101">
        <v>107758.81</v>
      </c>
      <c r="F22" s="140"/>
      <c r="G22" s="102">
        <v>6660</v>
      </c>
      <c r="H22" s="102">
        <v>190745</v>
      </c>
      <c r="I22" s="102">
        <v>52212.33</v>
      </c>
      <c r="J22" s="103">
        <v>9061.5</v>
      </c>
      <c r="K22" s="93">
        <v>12067</v>
      </c>
      <c r="L22" s="96">
        <v>27593.75</v>
      </c>
    </row>
    <row r="23" spans="1:12" s="3" customFormat="1" x14ac:dyDescent="0.3">
      <c r="A23" s="157"/>
      <c r="B23" s="5" t="s">
        <v>811</v>
      </c>
      <c r="C23" s="98">
        <f t="shared" si="5"/>
        <v>375733.92</v>
      </c>
      <c r="D23" s="100">
        <v>159949.82999999999</v>
      </c>
      <c r="E23" s="101">
        <v>94792.54</v>
      </c>
      <c r="F23" s="112"/>
      <c r="G23" s="144">
        <v>8839</v>
      </c>
      <c r="H23" s="102"/>
      <c r="I23" s="102">
        <v>48110</v>
      </c>
      <c r="J23" s="103">
        <v>11303.5</v>
      </c>
      <c r="K23" s="93">
        <v>4598</v>
      </c>
      <c r="L23" s="143">
        <v>48141.05</v>
      </c>
    </row>
    <row r="24" spans="1:12" s="3" customFormat="1" x14ac:dyDescent="0.3">
      <c r="A24" s="157"/>
      <c r="B24" s="5" t="s">
        <v>814</v>
      </c>
      <c r="C24" s="98">
        <f t="shared" si="5"/>
        <v>601352.47000000009</v>
      </c>
      <c r="D24" s="100">
        <v>223146.07</v>
      </c>
      <c r="E24" s="101">
        <v>256400.22</v>
      </c>
      <c r="F24" s="112"/>
      <c r="G24" s="102">
        <v>10190</v>
      </c>
      <c r="H24" s="102"/>
      <c r="I24" s="102">
        <v>37650</v>
      </c>
      <c r="J24" s="103">
        <v>10028</v>
      </c>
      <c r="K24" s="93">
        <v>3700</v>
      </c>
      <c r="L24" s="145">
        <v>60238.18</v>
      </c>
    </row>
    <row r="25" spans="1:12" s="3" customFormat="1" x14ac:dyDescent="0.3">
      <c r="A25" s="157"/>
      <c r="B25" s="5" t="s">
        <v>817</v>
      </c>
      <c r="C25" s="98">
        <f t="shared" si="5"/>
        <v>0</v>
      </c>
      <c r="D25" s="100"/>
      <c r="E25" s="101"/>
      <c r="F25" s="112"/>
      <c r="G25" s="102"/>
      <c r="H25" s="102"/>
      <c r="I25" s="102"/>
      <c r="J25" s="103"/>
      <c r="K25" s="104"/>
      <c r="L25"/>
    </row>
    <row r="26" spans="1:12" s="3" customFormat="1" x14ac:dyDescent="0.3">
      <c r="A26" s="157"/>
      <c r="B26" s="5" t="s">
        <v>820</v>
      </c>
      <c r="C26" s="98">
        <f t="shared" si="5"/>
        <v>0</v>
      </c>
      <c r="D26" s="100"/>
      <c r="E26" s="101"/>
      <c r="F26" s="112"/>
      <c r="G26" s="118"/>
      <c r="H26" s="102"/>
      <c r="I26" s="102"/>
      <c r="J26" s="103"/>
      <c r="K26" s="93"/>
      <c r="L26" s="112"/>
    </row>
    <row r="27" spans="1:12" s="3" customFormat="1" x14ac:dyDescent="0.3">
      <c r="A27" s="157"/>
      <c r="B27" s="5" t="s">
        <v>893</v>
      </c>
      <c r="C27" s="98">
        <f t="shared" si="5"/>
        <v>0</v>
      </c>
      <c r="D27" s="119"/>
      <c r="E27" s="99"/>
      <c r="F27" s="119"/>
      <c r="G27" s="119"/>
      <c r="H27" s="97"/>
      <c r="I27" s="97"/>
      <c r="J27" s="97"/>
      <c r="K27" s="97"/>
      <c r="L27" s="119"/>
    </row>
    <row r="28" spans="1:12" s="3" customFormat="1" x14ac:dyDescent="0.3">
      <c r="A28" s="157"/>
      <c r="B28" s="5" t="s">
        <v>826</v>
      </c>
      <c r="C28" s="98">
        <f t="shared" ref="C28" si="6">SUM(D28:L28)</f>
        <v>0</v>
      </c>
      <c r="D28" s="119"/>
      <c r="E28" s="119"/>
      <c r="F28" s="119"/>
      <c r="G28" s="119"/>
      <c r="H28" s="97"/>
      <c r="I28" s="97"/>
      <c r="J28" s="97"/>
      <c r="K28" s="97"/>
      <c r="L28" s="119"/>
    </row>
    <row r="29" spans="1:12" s="3" customFormat="1" x14ac:dyDescent="0.3">
      <c r="A29" s="157"/>
      <c r="B29" s="6" t="s">
        <v>794</v>
      </c>
      <c r="C29" s="95">
        <f>SUM(C17:C28)</f>
        <v>7732734.0699999994</v>
      </c>
      <c r="D29" s="95">
        <f t="shared" ref="D29:L29" si="7">SUM(D17:D28)</f>
        <v>1798117.72</v>
      </c>
      <c r="E29" s="95">
        <f t="shared" si="7"/>
        <v>4105030.5100000007</v>
      </c>
      <c r="F29" s="92">
        <f t="shared" si="7"/>
        <v>0</v>
      </c>
      <c r="G29" s="95">
        <f t="shared" si="7"/>
        <v>56174</v>
      </c>
      <c r="H29" s="95">
        <f t="shared" si="7"/>
        <v>815749.48</v>
      </c>
      <c r="I29" s="95">
        <f t="shared" si="7"/>
        <v>291152.33</v>
      </c>
      <c r="J29" s="95">
        <f t="shared" si="7"/>
        <v>80909.5</v>
      </c>
      <c r="K29" s="95">
        <f t="shared" si="7"/>
        <v>80581.100000000006</v>
      </c>
      <c r="L29" s="94">
        <f>SUM(L17:L28)</f>
        <v>505019.42999999993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2025-09-23T11:37:49Z</dcterms:modified>
</cp:coreProperties>
</file>