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6" l="1"/>
  <c r="M30" i="6" l="1"/>
  <c r="H28" i="12"/>
  <c r="H27" i="12"/>
  <c r="H26" i="12"/>
  <c r="L28" i="12"/>
  <c r="K28" i="12"/>
  <c r="G28" i="12"/>
  <c r="H25" i="12" l="1"/>
  <c r="H24" i="12"/>
  <c r="H23" i="12"/>
  <c r="I29" i="6" l="1"/>
  <c r="L27" i="12"/>
  <c r="K27" i="12"/>
  <c r="G27" i="12"/>
  <c r="L28" i="6"/>
  <c r="L26" i="12"/>
  <c r="K26" i="12"/>
  <c r="G26" i="12"/>
  <c r="L25" i="12" l="1"/>
  <c r="K25" i="12"/>
  <c r="G25" i="12"/>
  <c r="G26" i="6"/>
  <c r="I26" i="6"/>
  <c r="O26" i="6"/>
  <c r="T26" i="6"/>
  <c r="J26" i="6"/>
  <c r="L24" i="12"/>
  <c r="K24" i="12"/>
  <c r="G24" i="12"/>
  <c r="G25" i="6"/>
  <c r="I25" i="6" l="1"/>
  <c r="O25" i="6"/>
  <c r="U25" i="6"/>
  <c r="L23" i="12"/>
  <c r="K23" i="12"/>
  <c r="G23" i="12"/>
  <c r="H22" i="12" l="1"/>
  <c r="H21" i="12"/>
  <c r="H20" i="12"/>
  <c r="G24" i="6" l="1"/>
  <c r="O24" i="6"/>
  <c r="L22" i="12" l="1"/>
  <c r="K22" i="12"/>
  <c r="G22" i="12"/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L15" i="12"/>
  <c r="K15" i="12"/>
  <c r="G15" i="12"/>
  <c r="C29" i="12" l="1"/>
  <c r="D31" i="6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<sst xmlns="http://schemas.openxmlformats.org/spreadsheetml/2006/main" count="1004" uniqueCount="894">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</sst>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2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36" sqref="C36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2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3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4"/>
      <c r="B3" s="154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5"/>
      <c r="B4" s="155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50" t="s">
        <v>21</v>
      </c>
      <c r="V4" s="114"/>
    </row>
    <row r="5" spans="1:22" s="81" customFormat="1" ht="57" customHeight="1" x14ac:dyDescent="0.25">
      <c r="A5" s="155"/>
      <c r="B5" s="156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1"/>
      <c r="V5" s="115" t="s">
        <v>35</v>
      </c>
    </row>
    <row r="6" spans="1:22" x14ac:dyDescent="0.25">
      <c r="A6" s="146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7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7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7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7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7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7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7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7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8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8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8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9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6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7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7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7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45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7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7"/>
      <c r="B24" s="137" t="s">
        <v>886</v>
      </c>
      <c r="C24" s="106">
        <f t="shared" si="12"/>
        <v>4155783.92</v>
      </c>
      <c r="D24" s="121">
        <f t="shared" si="11"/>
        <v>4155783.92</v>
      </c>
      <c r="E24" s="127">
        <f t="shared" si="13"/>
        <v>1822853.9</v>
      </c>
      <c r="F24" s="123">
        <v>216719.59</v>
      </c>
      <c r="G24" s="106">
        <f>415842.89-1000</f>
        <v>414842.89</v>
      </c>
      <c r="H24" s="106">
        <v>74396.92</v>
      </c>
      <c r="I24" s="106">
        <v>193320</v>
      </c>
      <c r="J24" s="121">
        <v>923574.5</v>
      </c>
      <c r="K24" s="126">
        <f>SUM(L24:P24)</f>
        <v>1895731.85</v>
      </c>
      <c r="L24" s="106">
        <v>1266149.8600000001</v>
      </c>
      <c r="M24" s="106">
        <v>82384.59</v>
      </c>
      <c r="N24" s="106">
        <v>8700</v>
      </c>
      <c r="O24" s="106">
        <f>450000-1500</f>
        <v>448500</v>
      </c>
      <c r="P24" s="121">
        <v>89997.4</v>
      </c>
      <c r="Q24" s="126">
        <f t="shared" si="15"/>
        <v>437198.17000000004</v>
      </c>
      <c r="R24" s="124">
        <v>267320.98</v>
      </c>
      <c r="S24" s="106">
        <v>134992.17000000001</v>
      </c>
      <c r="T24" s="106">
        <v>4335.0200000000004</v>
      </c>
      <c r="U24" s="106">
        <v>30550</v>
      </c>
      <c r="V24" s="133"/>
    </row>
    <row r="25" spans="1:22" x14ac:dyDescent="0.25">
      <c r="A25" s="147"/>
      <c r="B25" s="137" t="s">
        <v>887</v>
      </c>
      <c r="C25" s="106">
        <f>E25+K25+Q25</f>
        <v>4450341.18</v>
      </c>
      <c r="D25" s="121">
        <f t="shared" si="11"/>
        <v>4450341.18</v>
      </c>
      <c r="E25" s="127">
        <f>SUM(F25:J25)</f>
        <v>2528573.92</v>
      </c>
      <c r="F25" s="123">
        <v>220543.74</v>
      </c>
      <c r="G25" s="106">
        <f>662644.63-7282.6+1300</f>
        <v>656662.03</v>
      </c>
      <c r="H25" s="106">
        <v>195160.53</v>
      </c>
      <c r="I25" s="106">
        <f>90377.8-1000</f>
        <v>89377.8</v>
      </c>
      <c r="J25" s="121">
        <v>1366829.82</v>
      </c>
      <c r="K25" s="126">
        <f>SUM(L25:P25)</f>
        <v>1487458.49</v>
      </c>
      <c r="L25" s="106">
        <v>1177455.56</v>
      </c>
      <c r="M25" s="106">
        <v>101824.42</v>
      </c>
      <c r="N25" s="106">
        <v>8031.75</v>
      </c>
      <c r="O25" s="106">
        <f>104114-900-500</f>
        <v>102714</v>
      </c>
      <c r="P25" s="121">
        <v>97432.76</v>
      </c>
      <c r="Q25" s="126">
        <f t="shared" si="15"/>
        <v>434308.77</v>
      </c>
      <c r="R25" s="124">
        <v>276534.19</v>
      </c>
      <c r="S25" s="106">
        <v>11400</v>
      </c>
      <c r="T25" s="106">
        <v>4491.13</v>
      </c>
      <c r="U25" s="106">
        <f>70350-1100</f>
        <v>69250</v>
      </c>
      <c r="V25" s="133">
        <v>72633.45</v>
      </c>
    </row>
    <row r="26" spans="1:22" x14ac:dyDescent="0.25">
      <c r="A26" s="147"/>
      <c r="B26" s="137" t="s">
        <v>888</v>
      </c>
      <c r="C26" s="106">
        <f>E26+K26+Q26</f>
        <v>4119446.9499999997</v>
      </c>
      <c r="D26" s="121">
        <f t="shared" si="11"/>
        <v>4119446.9499999997</v>
      </c>
      <c r="E26" s="127">
        <f>SUM(F26:J26)</f>
        <v>2251908.0199999996</v>
      </c>
      <c r="F26" s="123">
        <v>214224.24</v>
      </c>
      <c r="G26" s="106">
        <f>502230.98-1800-1000-45.22-1300</f>
        <v>498085.76</v>
      </c>
      <c r="H26" s="106">
        <v>181.08</v>
      </c>
      <c r="I26" s="106">
        <f>83272.56-1900</f>
        <v>81372.56</v>
      </c>
      <c r="J26" s="121">
        <f>1555257.13-50000-40000-7212.75</f>
        <v>1458044.38</v>
      </c>
      <c r="K26" s="126">
        <f t="shared" ref="K26:K30" si="16">SUM(L26:P26)</f>
        <v>1246923.58</v>
      </c>
      <c r="L26" s="124">
        <v>1165667.7</v>
      </c>
      <c r="M26" s="106">
        <v>70416.070000000007</v>
      </c>
      <c r="N26" s="106">
        <v>8339.81</v>
      </c>
      <c r="O26" s="106">
        <f>3400-900</f>
        <v>2500</v>
      </c>
      <c r="P26" s="121"/>
      <c r="Q26" s="126">
        <f t="shared" si="15"/>
        <v>620615.35</v>
      </c>
      <c r="R26" s="124">
        <v>255263.49</v>
      </c>
      <c r="S26" s="106">
        <v>130452.24</v>
      </c>
      <c r="T26" s="106">
        <f>21730.62-11000</f>
        <v>10730.619999999999</v>
      </c>
      <c r="U26" s="106">
        <v>170</v>
      </c>
      <c r="V26" s="133">
        <v>223999</v>
      </c>
    </row>
    <row r="27" spans="1:22" x14ac:dyDescent="0.25">
      <c r="A27" s="147"/>
      <c r="B27" s="137" t="s">
        <v>889</v>
      </c>
      <c r="C27" s="106">
        <f t="shared" ref="C27:C30" si="17">E27+K27+Q27</f>
        <v>2584035.79</v>
      </c>
      <c r="D27" s="121">
        <f t="shared" si="11"/>
        <v>2584035.79</v>
      </c>
      <c r="E27" s="127">
        <f t="shared" ref="E27:E30" si="18">SUM(F27:J27)</f>
        <v>991849.40999999992</v>
      </c>
      <c r="F27" s="123">
        <v>213796.39</v>
      </c>
      <c r="G27" s="134">
        <v>234531.61</v>
      </c>
      <c r="H27" s="106">
        <v>4960.05</v>
      </c>
      <c r="I27" s="106">
        <v>802</v>
      </c>
      <c r="J27" s="121">
        <v>537759.36</v>
      </c>
      <c r="K27" s="126">
        <f t="shared" si="16"/>
        <v>1307558.43</v>
      </c>
      <c r="L27" s="124">
        <v>1168463.24</v>
      </c>
      <c r="M27" s="106">
        <v>88693.2</v>
      </c>
      <c r="N27" s="106"/>
      <c r="O27" s="106">
        <v>460</v>
      </c>
      <c r="P27" s="121">
        <v>49941.99</v>
      </c>
      <c r="Q27" s="126">
        <f t="shared" si="15"/>
        <v>284627.94999999995</v>
      </c>
      <c r="R27" s="124">
        <v>251709.96</v>
      </c>
      <c r="S27" s="106">
        <v>2917.99</v>
      </c>
      <c r="T27" s="106"/>
      <c r="U27" s="106"/>
      <c r="V27" s="133">
        <v>30000</v>
      </c>
    </row>
    <row r="28" spans="1:22" x14ac:dyDescent="0.25">
      <c r="A28" s="148"/>
      <c r="B28" s="137" t="s">
        <v>890</v>
      </c>
      <c r="C28" s="106">
        <f t="shared" si="17"/>
        <v>2004884.94</v>
      </c>
      <c r="D28" s="121">
        <f t="shared" si="11"/>
        <v>2004884.94</v>
      </c>
      <c r="E28" s="127">
        <f t="shared" si="18"/>
        <v>446147.55</v>
      </c>
      <c r="F28" s="123">
        <v>214000.65</v>
      </c>
      <c r="G28" s="106">
        <v>14000</v>
      </c>
      <c r="H28" s="106">
        <v>-1853.1</v>
      </c>
      <c r="I28" s="107"/>
      <c r="J28" s="122">
        <v>220000</v>
      </c>
      <c r="K28" s="126">
        <f t="shared" si="16"/>
        <v>1294477.79</v>
      </c>
      <c r="L28" s="124">
        <f>1177523.48-10231.99</f>
        <v>1167291.49</v>
      </c>
      <c r="M28" s="106">
        <v>107000</v>
      </c>
      <c r="N28" s="107"/>
      <c r="O28" s="107"/>
      <c r="P28" s="122">
        <v>20186.3</v>
      </c>
      <c r="Q28" s="126">
        <f t="shared" si="15"/>
        <v>264259.59999999998</v>
      </c>
      <c r="R28" s="124">
        <v>258606.61</v>
      </c>
      <c r="S28" s="106"/>
      <c r="T28" s="107">
        <v>5652.99</v>
      </c>
      <c r="U28" s="107"/>
      <c r="V28" s="135"/>
    </row>
    <row r="29" spans="1:22" x14ac:dyDescent="0.25">
      <c r="A29" s="148"/>
      <c r="B29" s="137" t="s">
        <v>891</v>
      </c>
      <c r="C29" s="106">
        <f t="shared" si="17"/>
        <v>3584422.34</v>
      </c>
      <c r="D29" s="121">
        <f t="shared" si="11"/>
        <v>3584422.34</v>
      </c>
      <c r="E29" s="127">
        <f t="shared" si="18"/>
        <v>1900250.12</v>
      </c>
      <c r="F29" s="123">
        <v>214082.69</v>
      </c>
      <c r="G29" s="106">
        <v>387036.19</v>
      </c>
      <c r="H29" s="106">
        <v>6594.06</v>
      </c>
      <c r="I29" s="107">
        <f>219394.64-2000</f>
        <v>217394.64</v>
      </c>
      <c r="J29" s="122">
        <v>1075142.54</v>
      </c>
      <c r="K29" s="126">
        <f t="shared" si="16"/>
        <v>1332706.68</v>
      </c>
      <c r="L29" s="124">
        <v>1167924.49</v>
      </c>
      <c r="M29" s="106">
        <v>91283.05</v>
      </c>
      <c r="N29" s="107">
        <v>21741.14</v>
      </c>
      <c r="O29" s="107"/>
      <c r="P29" s="122">
        <v>51758</v>
      </c>
      <c r="Q29" s="126">
        <f t="shared" si="15"/>
        <v>351465.54</v>
      </c>
      <c r="R29" s="124">
        <v>271062.17</v>
      </c>
      <c r="S29" s="106">
        <v>61204.87</v>
      </c>
      <c r="T29" s="107">
        <v>13331.95</v>
      </c>
      <c r="U29" s="107"/>
      <c r="V29" s="135">
        <v>5866.55</v>
      </c>
    </row>
    <row r="30" spans="1:22" x14ac:dyDescent="0.25">
      <c r="A30" s="148"/>
      <c r="B30" s="138" t="s">
        <v>892</v>
      </c>
      <c r="C30" s="107">
        <f t="shared" si="17"/>
        <v>1788279.9500000002</v>
      </c>
      <c r="D30" s="122">
        <f t="shared" si="11"/>
        <v>1788279.9500000002</v>
      </c>
      <c r="E30" s="127">
        <f t="shared" si="18"/>
        <v>321210.01999999996</v>
      </c>
      <c r="F30" s="125">
        <v>213193.07</v>
      </c>
      <c r="G30" s="107">
        <f>76860.07-180.6-41.69-500+1000</f>
        <v>77137.78</v>
      </c>
      <c r="H30" s="106">
        <v>1118.5</v>
      </c>
      <c r="I30" s="108">
        <v>29220</v>
      </c>
      <c r="J30" s="122">
        <v>540.66999999999996</v>
      </c>
      <c r="K30" s="126">
        <f t="shared" si="16"/>
        <v>1189048.79</v>
      </c>
      <c r="L30" s="130">
        <v>1165442.3</v>
      </c>
      <c r="M30" s="107">
        <f>18010.85-248.03</f>
        <v>17762.82</v>
      </c>
      <c r="N30" s="108">
        <v>5843.67</v>
      </c>
      <c r="O30" s="108"/>
      <c r="P30" s="128"/>
      <c r="Q30" s="126">
        <f t="shared" si="15"/>
        <v>278021.14</v>
      </c>
      <c r="R30" s="130">
        <v>270367.03000000003</v>
      </c>
      <c r="S30" s="106">
        <v>7654.11</v>
      </c>
      <c r="T30" s="108"/>
      <c r="U30" s="108"/>
      <c r="V30" s="136"/>
    </row>
    <row r="31" spans="1:22" x14ac:dyDescent="0.25">
      <c r="A31" s="149"/>
      <c r="B31" s="139" t="s">
        <v>893</v>
      </c>
      <c r="C31" s="109">
        <f>E31+K31+Q31</f>
        <v>42966383.190000005</v>
      </c>
      <c r="D31" s="109">
        <f>SUM(D19:D30)</f>
        <v>42966383.189999998</v>
      </c>
      <c r="E31" s="109">
        <f>SUM(E19:E30)</f>
        <v>20644198.34</v>
      </c>
      <c r="F31" s="109">
        <f>SUM(F19:F30)</f>
        <v>2562748.5299999998</v>
      </c>
      <c r="G31" s="109">
        <f>SUM(G19:G30)</f>
        <v>5897048.4800000004</v>
      </c>
      <c r="H31" s="109">
        <f>SUM(H19:H30)</f>
        <v>581806.05000000005</v>
      </c>
      <c r="I31" s="109">
        <f t="shared" ref="I31:J31" si="19">SUM(I19:I30)</f>
        <v>1007237.0000000001</v>
      </c>
      <c r="J31" s="109">
        <f t="shared" si="19"/>
        <v>10595358.279999999</v>
      </c>
      <c r="K31" s="109">
        <f>SUM(K19:K30)</f>
        <v>17441864.140000001</v>
      </c>
      <c r="L31" s="109">
        <f t="shared" ref="L31" si="20">SUM(L19:L30)</f>
        <v>15001506.65</v>
      </c>
      <c r="M31" s="109">
        <f>SUM(M19:M30)</f>
        <v>1002464.2000000001</v>
      </c>
      <c r="N31" s="109">
        <f t="shared" ref="N31:R31" si="21">SUM(N19:N30)</f>
        <v>82870.33</v>
      </c>
      <c r="O31" s="109">
        <f t="shared" si="21"/>
        <v>554174</v>
      </c>
      <c r="P31" s="129">
        <f t="shared" si="21"/>
        <v>800848.96000000008</v>
      </c>
      <c r="Q31" s="109">
        <f t="shared" si="21"/>
        <v>4880320.709999999</v>
      </c>
      <c r="R31" s="131">
        <f t="shared" si="21"/>
        <v>3194660.3499999996</v>
      </c>
      <c r="S31" s="109">
        <f>SUM(S19:S30)</f>
        <v>1098361.3600000001</v>
      </c>
      <c r="T31" s="109">
        <f t="shared" ref="T31:V31" si="22">SUM(T19:T30)</f>
        <v>55000</v>
      </c>
      <c r="U31" s="109">
        <f t="shared" si="22"/>
        <v>199800</v>
      </c>
      <c r="V31" s="109">
        <f t="shared" si="22"/>
        <v>332499</v>
      </c>
    </row>
    <row r="33" spans="3:16" x14ac:dyDescent="0.25">
      <c r="P33" s="144"/>
    </row>
    <row r="35" spans="3:16" x14ac:dyDescent="0.25">
      <c r="F35" s="143"/>
      <c r="G35" s="143"/>
      <c r="H35" s="143"/>
      <c r="I35" s="143"/>
      <c r="J35" s="143"/>
    </row>
    <row r="36" spans="3:16" x14ac:dyDescent="0.25">
      <c r="F36" s="143"/>
      <c r="G36" s="143"/>
      <c r="H36" s="143"/>
      <c r="I36" s="143"/>
      <c r="J36" s="143"/>
      <c r="L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F38" s="143"/>
      <c r="G38" s="143"/>
      <c r="H38" s="143"/>
      <c r="J38" s="143"/>
    </row>
    <row r="39" spans="3:16" x14ac:dyDescent="0.25">
      <c r="C39" s="143"/>
      <c r="F39" s="143"/>
      <c r="G39" s="143"/>
      <c r="H39" s="143"/>
      <c r="I39" s="143"/>
      <c r="J39" s="143"/>
    </row>
    <row r="41" spans="3:16" x14ac:dyDescent="0.25">
      <c r="F41" s="143"/>
      <c r="G41" s="143"/>
    </row>
    <row r="42" spans="3:16" x14ac:dyDescent="0.25">
      <c r="J42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9" sqref="H29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7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7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7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7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7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7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7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7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7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7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7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7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7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7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7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7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7"/>
      <c r="B20" s="5" t="s">
        <v>884</v>
      </c>
      <c r="C20" s="98">
        <f t="shared" si="5"/>
        <v>783924.6399999999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>
        <f>126960+9300</f>
        <v>136260</v>
      </c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7"/>
      <c r="B21" s="5" t="s">
        <v>885</v>
      </c>
      <c r="C21" s="98">
        <f t="shared" si="5"/>
        <v>586701.96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>
        <f>118475+12800</f>
        <v>131275</v>
      </c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7"/>
      <c r="B22" s="5" t="s">
        <v>886</v>
      </c>
      <c r="C22" s="98">
        <f t="shared" si="5"/>
        <v>450836.84</v>
      </c>
      <c r="D22" s="100">
        <v>82672.710000000006</v>
      </c>
      <c r="E22" s="101">
        <v>100072.69</v>
      </c>
      <c r="F22" s="141"/>
      <c r="G22" s="102">
        <f>5991+706+261+23+51</f>
        <v>7032</v>
      </c>
      <c r="H22" s="102">
        <f>94321+9335</f>
        <v>103656</v>
      </c>
      <c r="I22" s="102">
        <v>31745</v>
      </c>
      <c r="J22" s="103">
        <v>9167</v>
      </c>
      <c r="K22" s="93">
        <f>19332.5+125+6</f>
        <v>19463.5</v>
      </c>
      <c r="L22" s="96">
        <f>332+1500+140+2734.65+725+595.8+27847+33+16373.49+46048+250+449</f>
        <v>97027.94</v>
      </c>
    </row>
    <row r="23" spans="1:12" s="3" customFormat="1" x14ac:dyDescent="0.25">
      <c r="A23" s="157"/>
      <c r="B23" s="5" t="s">
        <v>887</v>
      </c>
      <c r="C23" s="98">
        <f t="shared" si="5"/>
        <v>657362.71000000008</v>
      </c>
      <c r="D23" s="100">
        <v>116891.37</v>
      </c>
      <c r="E23" s="101">
        <v>216421.95</v>
      </c>
      <c r="F23" s="113"/>
      <c r="G23" s="102">
        <f>8338+765+194+144+255</f>
        <v>9696</v>
      </c>
      <c r="H23" s="102">
        <f>163205+9070</f>
        <v>172275</v>
      </c>
      <c r="I23" s="102">
        <v>41380</v>
      </c>
      <c r="J23" s="103">
        <v>11232</v>
      </c>
      <c r="K23" s="93">
        <f>8110+67+3</f>
        <v>8180</v>
      </c>
      <c r="L23" s="96">
        <f>660+4000+150+275+8180.67+1200+1055+41970+339+21131.42+300+1791.3+135+99</f>
        <v>81286.39</v>
      </c>
    </row>
    <row r="24" spans="1:12" s="3" customFormat="1" x14ac:dyDescent="0.25">
      <c r="A24" s="157"/>
      <c r="B24" s="5" t="s">
        <v>888</v>
      </c>
      <c r="C24" s="98">
        <f t="shared" si="5"/>
        <v>712002.31</v>
      </c>
      <c r="D24" s="100">
        <v>227321.87</v>
      </c>
      <c r="E24" s="101">
        <v>158940.93</v>
      </c>
      <c r="F24" s="113"/>
      <c r="G24" s="102">
        <f>9383+1045+411+301+157</f>
        <v>11297</v>
      </c>
      <c r="H24" s="102">
        <f>170471+10710</f>
        <v>181181</v>
      </c>
      <c r="I24" s="102">
        <v>34785</v>
      </c>
      <c r="J24" s="103">
        <v>14154.5</v>
      </c>
      <c r="K24" s="93">
        <f>1920+85+4</f>
        <v>2009</v>
      </c>
      <c r="L24" s="96">
        <f>220+1650+245+11052+391+171.3+43475+145+2616.71+21258+575+165+349</f>
        <v>82313.010000000009</v>
      </c>
    </row>
    <row r="25" spans="1:12" s="3" customFormat="1" x14ac:dyDescent="0.25">
      <c r="A25" s="157"/>
      <c r="B25" s="5" t="s">
        <v>889</v>
      </c>
      <c r="C25" s="98">
        <f t="shared" si="5"/>
        <v>798218.92</v>
      </c>
      <c r="D25" s="100">
        <v>223123.96</v>
      </c>
      <c r="E25" s="101">
        <v>236536.06</v>
      </c>
      <c r="F25" s="113"/>
      <c r="G25" s="102">
        <f>6140+774+215+62+122</f>
        <v>7313</v>
      </c>
      <c r="H25" s="102">
        <f>123471+11470</f>
        <v>134941</v>
      </c>
      <c r="I25" s="102">
        <v>30960</v>
      </c>
      <c r="J25" s="103">
        <v>10039.5</v>
      </c>
      <c r="K25" s="104">
        <f>18408+95+50</f>
        <v>18553</v>
      </c>
      <c r="L25" s="96">
        <f>554+6678+1125+165+13155.13+560+79.27+23566+33+89603+1100+35+99</f>
        <v>136752.4</v>
      </c>
    </row>
    <row r="26" spans="1:12" s="3" customFormat="1" x14ac:dyDescent="0.25">
      <c r="A26" s="157"/>
      <c r="B26" s="5" t="s">
        <v>890</v>
      </c>
      <c r="C26" s="98">
        <f t="shared" si="5"/>
        <v>678779.84</v>
      </c>
      <c r="D26" s="100">
        <v>151136.6</v>
      </c>
      <c r="E26" s="101">
        <v>253104.71</v>
      </c>
      <c r="F26" s="113"/>
      <c r="G26" s="119">
        <f>5567+740+207+151+91</f>
        <v>6756</v>
      </c>
      <c r="H26" s="102">
        <f>140292+13725</f>
        <v>154017</v>
      </c>
      <c r="I26" s="102">
        <v>34640</v>
      </c>
      <c r="J26" s="103">
        <v>11368</v>
      </c>
      <c r="K26" s="93">
        <f>20121.2+105+1</f>
        <v>20227.2</v>
      </c>
      <c r="L26" s="113">
        <f>150+1600+270+4299.47+520+530.66+28787+54+1978.7+7850.5+1250+240</f>
        <v>47530.329999999994</v>
      </c>
    </row>
    <row r="27" spans="1:12" s="3" customFormat="1" x14ac:dyDescent="0.25">
      <c r="A27" s="157"/>
      <c r="B27" s="5" t="s">
        <v>891</v>
      </c>
      <c r="C27" s="98">
        <f t="shared" si="5"/>
        <v>512909.44</v>
      </c>
      <c r="D27" s="120">
        <v>95574.97</v>
      </c>
      <c r="E27" s="99">
        <v>177651.33</v>
      </c>
      <c r="F27" s="120"/>
      <c r="G27" s="120">
        <f>4820+519+462+133+81</f>
        <v>6015</v>
      </c>
      <c r="H27" s="97">
        <f>116001+9155</f>
        <v>125156</v>
      </c>
      <c r="I27" s="97">
        <v>29275</v>
      </c>
      <c r="J27" s="97">
        <v>8900.5</v>
      </c>
      <c r="K27" s="97">
        <f>19285.2+106</f>
        <v>19391.2</v>
      </c>
      <c r="L27" s="120">
        <f>640+150+330+2307.49+792+403.25+23505+14+1466.7+20638+350+349</f>
        <v>50945.440000000002</v>
      </c>
    </row>
    <row r="28" spans="1:12" s="3" customFormat="1" x14ac:dyDescent="0.25">
      <c r="A28" s="157"/>
      <c r="B28" s="5" t="s">
        <v>892</v>
      </c>
      <c r="C28" s="98">
        <f t="shared" ref="C28" si="6">SUM(D28:L28)</f>
        <v>937100.91</v>
      </c>
      <c r="D28" s="120">
        <v>260938.58</v>
      </c>
      <c r="E28" s="120">
        <v>435890.91</v>
      </c>
      <c r="F28" s="120"/>
      <c r="G28" s="120">
        <f>8274+773+139+219+88</f>
        <v>9493</v>
      </c>
      <c r="H28" s="97">
        <f>110455+7430</f>
        <v>117885</v>
      </c>
      <c r="I28" s="97">
        <v>30185</v>
      </c>
      <c r="J28" s="97">
        <v>12899.5</v>
      </c>
      <c r="K28" s="97">
        <f>20377.3+92+3</f>
        <v>20472.3</v>
      </c>
      <c r="L28" s="120">
        <f>550+1300+245+6051.65+448+1222.54+24539+34+2007.13+11875+916.3+25+123</f>
        <v>49336.62</v>
      </c>
    </row>
    <row r="29" spans="1:12" s="3" customFormat="1" x14ac:dyDescent="0.25">
      <c r="A29" s="157"/>
      <c r="B29" s="6" t="s">
        <v>893</v>
      </c>
      <c r="C29" s="95">
        <f>SUM(C17:C28)</f>
        <v>7666109.1200000001</v>
      </c>
      <c r="D29" s="95">
        <f t="shared" ref="D29:L29" si="7">SUM(D17:D28)</f>
        <v>2142214.12</v>
      </c>
      <c r="E29" s="95">
        <f t="shared" si="7"/>
        <v>2389535.6800000002</v>
      </c>
      <c r="F29" s="92">
        <f t="shared" si="7"/>
        <v>0</v>
      </c>
      <c r="G29" s="95">
        <f t="shared" si="7"/>
        <v>95649</v>
      </c>
      <c r="H29" s="95">
        <f t="shared" si="7"/>
        <v>1474472</v>
      </c>
      <c r="I29" s="95">
        <f t="shared" si="7"/>
        <v>372320</v>
      </c>
      <c r="J29" s="95">
        <f t="shared" si="7"/>
        <v>135212</v>
      </c>
      <c r="K29" s="95">
        <f t="shared" si="7"/>
        <v>208861.5</v>
      </c>
      <c r="L29" s="94">
        <f t="shared" si="7"/>
        <v>847844.82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2025-01-30T08:59:51Z</dcterms:modified>
</cp:coreProperties>
</file>