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rtesa.Morina\Desktop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PAGESAT!$A$1:$V$5</definedName>
    <definedName name="_xlnm.Print_Area" localSheetId="1">PRANIMET!$A$1:$L$45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6" l="1"/>
  <c r="L26" i="12"/>
  <c r="K26" i="12"/>
  <c r="G26" i="12"/>
  <c r="L25" i="12" l="1"/>
  <c r="K25" i="12"/>
  <c r="G25" i="12"/>
  <c r="G26" i="6"/>
  <c r="I26" i="6"/>
  <c r="O26" i="6"/>
  <c r="T26" i="6"/>
  <c r="J26" i="6"/>
  <c r="L24" i="12"/>
  <c r="K24" i="12"/>
  <c r="G24" i="12"/>
  <c r="G25" i="6"/>
  <c r="I25" i="6" l="1"/>
  <c r="O25" i="6"/>
  <c r="U25" i="6"/>
  <c r="L23" i="12"/>
  <c r="K23" i="12"/>
  <c r="G23" i="12"/>
  <c r="H22" i="12" l="1"/>
  <c r="H21" i="12"/>
  <c r="H20" i="12"/>
  <c r="G24" i="6" l="1"/>
  <c r="O24" i="6"/>
  <c r="L22" i="12" l="1"/>
  <c r="K22" i="12"/>
  <c r="G22" i="12"/>
  <c r="G23" i="6" l="1"/>
  <c r="L23" i="6"/>
  <c r="S23" i="6"/>
  <c r="L21" i="12"/>
  <c r="K21" i="12"/>
  <c r="G21" i="12"/>
  <c r="H19" i="12"/>
  <c r="H18" i="12"/>
  <c r="H17" i="12"/>
  <c r="G22" i="6"/>
  <c r="L20" i="12" l="1"/>
  <c r="K20" i="12"/>
  <c r="G20" i="12"/>
  <c r="S21" i="6" l="1"/>
  <c r="U21" i="6" l="1"/>
  <c r="I21" i="6"/>
  <c r="L19" i="12"/>
  <c r="K19" i="12"/>
  <c r="G19" i="12"/>
  <c r="G20" i="6" l="1"/>
  <c r="L18" i="12" l="1"/>
  <c r="K18" i="12"/>
  <c r="G18" i="12"/>
  <c r="L17" i="12" l="1"/>
  <c r="L29" i="12" s="1"/>
  <c r="K17" i="12"/>
  <c r="G17" i="12"/>
  <c r="E19" i="6"/>
  <c r="K19" i="6"/>
  <c r="Q19" i="6"/>
  <c r="E20" i="6"/>
  <c r="K20" i="6"/>
  <c r="Q20" i="6"/>
  <c r="E21" i="6"/>
  <c r="K21" i="6"/>
  <c r="Q21" i="6"/>
  <c r="E22" i="6"/>
  <c r="K22" i="6"/>
  <c r="Q22" i="6"/>
  <c r="E23" i="6"/>
  <c r="K23" i="6"/>
  <c r="Q23" i="6"/>
  <c r="E24" i="6"/>
  <c r="K24" i="6"/>
  <c r="Q24" i="6"/>
  <c r="E25" i="6"/>
  <c r="K25" i="6"/>
  <c r="Q25" i="6"/>
  <c r="E26" i="6"/>
  <c r="K26" i="6"/>
  <c r="N31" i="6"/>
  <c r="Q26" i="6"/>
  <c r="E27" i="6"/>
  <c r="K27" i="6"/>
  <c r="Q27" i="6"/>
  <c r="E28" i="6"/>
  <c r="K28" i="6"/>
  <c r="Q28" i="6"/>
  <c r="E29" i="6"/>
  <c r="K29" i="6"/>
  <c r="Q29" i="6"/>
  <c r="E30" i="6"/>
  <c r="K30" i="6"/>
  <c r="Q30" i="6"/>
  <c r="F31" i="6"/>
  <c r="G31" i="6"/>
  <c r="I31" i="6"/>
  <c r="J31" i="6"/>
  <c r="M31" i="6"/>
  <c r="O31" i="6"/>
  <c r="P31" i="6"/>
  <c r="R31" i="6"/>
  <c r="S31" i="6"/>
  <c r="T31" i="6"/>
  <c r="U31" i="6"/>
  <c r="V31" i="6"/>
  <c r="K29" i="12"/>
  <c r="C19" i="12"/>
  <c r="C20" i="12"/>
  <c r="C22" i="12"/>
  <c r="C23" i="12"/>
  <c r="C24" i="12"/>
  <c r="C26" i="12"/>
  <c r="H29" i="12"/>
  <c r="D29" i="12"/>
  <c r="E29" i="12"/>
  <c r="F29" i="12"/>
  <c r="I29" i="12"/>
  <c r="J29" i="12"/>
  <c r="H8" i="12"/>
  <c r="G8" i="12"/>
  <c r="H15" i="12"/>
  <c r="H14" i="12"/>
  <c r="H13" i="12"/>
  <c r="C19" i="6" l="1"/>
  <c r="C30" i="6"/>
  <c r="C28" i="12"/>
  <c r="C27" i="12"/>
  <c r="C18" i="12"/>
  <c r="C25" i="12"/>
  <c r="C17" i="12"/>
  <c r="G29" i="12"/>
  <c r="C29" i="6"/>
  <c r="C25" i="6"/>
  <c r="C28" i="6"/>
  <c r="C27" i="6"/>
  <c r="C22" i="6"/>
  <c r="H31" i="6"/>
  <c r="Q31" i="6"/>
  <c r="C24" i="6"/>
  <c r="D20" i="6"/>
  <c r="D30" i="6"/>
  <c r="C23" i="6"/>
  <c r="D19" i="6"/>
  <c r="D26" i="6"/>
  <c r="C26" i="6"/>
  <c r="E31" i="6"/>
  <c r="K31" i="6"/>
  <c r="D21" i="6"/>
  <c r="D27" i="6"/>
  <c r="C21" i="6"/>
  <c r="D23" i="6"/>
  <c r="D29" i="6"/>
  <c r="C20" i="6"/>
  <c r="D28" i="6"/>
  <c r="L31" i="6"/>
  <c r="D24" i="6"/>
  <c r="D25" i="6"/>
  <c r="D22" i="6"/>
  <c r="C21" i="12"/>
  <c r="C29" i="12" s="1"/>
  <c r="L15" i="12"/>
  <c r="K15" i="12"/>
  <c r="G15" i="12"/>
  <c r="D31" i="6" l="1"/>
  <c r="C31" i="6"/>
  <c r="Q16" i="6"/>
  <c r="L14" i="12"/>
  <c r="K14" i="12"/>
  <c r="G14" i="12"/>
  <c r="Q14" i="6" l="1"/>
  <c r="K14" i="6"/>
  <c r="E14" i="6"/>
  <c r="H12" i="12" l="1"/>
  <c r="H11" i="12"/>
  <c r="H10" i="12"/>
  <c r="L13" i="12"/>
  <c r="K13" i="12"/>
  <c r="G13" i="12"/>
  <c r="L12" i="12" l="1"/>
  <c r="K12" i="12"/>
  <c r="G12" i="12"/>
  <c r="L5" i="12" l="1"/>
  <c r="K5" i="12"/>
  <c r="G5" i="12"/>
  <c r="C5" i="12" s="1"/>
  <c r="G18" i="6" l="1"/>
  <c r="M18" i="6"/>
  <c r="L13" i="6"/>
  <c r="R13" i="6"/>
  <c r="H13" i="6"/>
  <c r="N13" i="6"/>
  <c r="S13" i="6"/>
  <c r="S18" i="6" s="1"/>
  <c r="C9" i="12" l="1"/>
  <c r="Q6" i="6" l="1"/>
  <c r="J16" i="12"/>
  <c r="I16" i="12"/>
  <c r="H16" i="12"/>
  <c r="F16" i="12"/>
  <c r="E16" i="12"/>
  <c r="D16" i="12"/>
  <c r="C15" i="12"/>
  <c r="C14" i="12"/>
  <c r="C13" i="12"/>
  <c r="C11" i="12"/>
  <c r="C10" i="12"/>
  <c r="C8" i="12"/>
  <c r="C7" i="12"/>
  <c r="C6" i="12"/>
  <c r="L4" i="12"/>
  <c r="L16" i="12" s="1"/>
  <c r="K4" i="12"/>
  <c r="K16" i="12" s="1"/>
  <c r="G4" i="12"/>
  <c r="C4" i="12" s="1"/>
  <c r="D3" i="12"/>
  <c r="C3" i="12"/>
  <c r="B3" i="12"/>
  <c r="A3" i="12"/>
  <c r="A1" i="12"/>
  <c r="V18" i="6" l="1"/>
  <c r="U18" i="6"/>
  <c r="T18" i="6"/>
  <c r="R18" i="6"/>
  <c r="P18" i="6"/>
  <c r="O18" i="6"/>
  <c r="L18" i="6"/>
  <c r="J18" i="6"/>
  <c r="I18" i="6"/>
  <c r="H18" i="6"/>
  <c r="Q17" i="6"/>
  <c r="K17" i="6"/>
  <c r="K16" i="6"/>
  <c r="Q15" i="6"/>
  <c r="K15" i="6"/>
  <c r="E15" i="6"/>
  <c r="N18" i="6"/>
  <c r="Q13" i="6"/>
  <c r="K13" i="6"/>
  <c r="E13" i="6"/>
  <c r="Q12" i="6"/>
  <c r="K12" i="6"/>
  <c r="E12" i="6"/>
  <c r="Q11" i="6"/>
  <c r="K11" i="6"/>
  <c r="E11" i="6"/>
  <c r="Q10" i="6"/>
  <c r="K10" i="6"/>
  <c r="E10" i="6"/>
  <c r="Q9" i="6"/>
  <c r="K9" i="6"/>
  <c r="E9" i="6"/>
  <c r="Q8" i="6"/>
  <c r="K8" i="6"/>
  <c r="E8" i="6"/>
  <c r="Q7" i="6"/>
  <c r="K7" i="6"/>
  <c r="E7" i="6"/>
  <c r="K6" i="6"/>
  <c r="E6" i="6"/>
  <c r="Q18" i="6" l="1"/>
  <c r="C7" i="6"/>
  <c r="C8" i="6"/>
  <c r="C10" i="6"/>
  <c r="D15" i="6"/>
  <c r="D6" i="6"/>
  <c r="D7" i="6"/>
  <c r="D9" i="6"/>
  <c r="F18" i="6"/>
  <c r="D8" i="6"/>
  <c r="D11" i="6"/>
  <c r="D13" i="6"/>
  <c r="D12" i="6"/>
  <c r="C6" i="6"/>
  <c r="D10" i="6"/>
  <c r="C12" i="6"/>
  <c r="E16" i="6"/>
  <c r="C16" i="6" s="1"/>
  <c r="E17" i="6"/>
  <c r="D17" i="6" s="1"/>
  <c r="C11" i="6"/>
  <c r="C9" i="6"/>
  <c r="C13" i="6"/>
  <c r="C15" i="6"/>
  <c r="D14" i="6"/>
  <c r="C17" i="6" l="1"/>
  <c r="E18" i="6"/>
  <c r="D16" i="6"/>
  <c r="D18" i="6" s="1"/>
  <c r="K18" i="6"/>
  <c r="C14" i="6"/>
  <c r="C18" i="6" l="1"/>
  <c r="J5" i="6" l="1"/>
  <c r="I5" i="6"/>
  <c r="H5" i="6"/>
  <c r="G5" i="6"/>
  <c r="F5" i="6"/>
  <c r="E5" i="6"/>
  <c r="D5" i="6"/>
  <c r="C5" i="6"/>
  <c r="A1" i="6"/>
  <c r="G16" i="12" l="1"/>
  <c r="C12" i="12"/>
  <c r="C16" i="12" s="1"/>
</calcChain>
</file>

<file path=xl/sharedStrings.xml><?xml version="1.0" encoding="utf-8"?>
<sst xmlns="http://schemas.openxmlformats.org/spreadsheetml/2006/main" count="1004" uniqueCount="894">
  <si>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</si>
  <si>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</si>
  <si>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</si>
  <si>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</si>
  <si>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</si>
  <si>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</si>
  <si>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</si>
  <si>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</si>
  <si>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</si>
  <si>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</si>
  <si>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</si>
  <si>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</si>
  <si>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</si>
  <si>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</si>
  <si>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</si>
  <si>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</si>
  <si>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</si>
  <si>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</si>
  <si>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</si>
  <si>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</si>
  <si>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</si>
  <si>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</si>
  <si>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</si>
  <si>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</si>
  <si>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</si>
  <si>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</si>
  <si>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</si>
  <si>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</si>
  <si>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</si>
  <si>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</si>
  <si>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</si>
  <si>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</si>
  <si>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</si>
  <si>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</si>
  <si>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</si>
  <si>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</si>
  <si>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</si>
  <si>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</si>
  <si>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</si>
  <si>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</si>
  <si>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</si>
  <si>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</si>
  <si>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</si>
  <si>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</si>
  <si>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</si>
  <si>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</si>
  <si>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</si>
  <si>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</si>
  <si>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</si>
  <si>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</si>
  <si>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</si>
  <si>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</si>
  <si>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</si>
  <si>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</si>
  <si>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</si>
  <si>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</si>
  <si>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</si>
  <si>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</si>
  <si>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</si>
  <si>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</si>
  <si>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</si>
  <si>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</si>
  <si>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</si>
  <si>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</si>
  <si>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</si>
  <si>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</si>
  <si>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</si>
  <si>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</si>
  <si>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</si>
  <si>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</si>
  <si>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</si>
  <si>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</si>
  <si>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</si>
  <si>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</si>
  <si>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</si>
  <si>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</si>
  <si>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</si>
  <si>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</si>
  <si>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</si>
  <si>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</si>
  <si>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</si>
  <si>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</si>
  <si>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</si>
  <si>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</si>
  <si>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</si>
  <si>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</si>
  <si>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</si>
  <si>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</si>
  <si>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</si>
  <si>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</si>
  <si>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</si>
  <si>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</si>
  <si>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</si>
  <si>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</si>
  <si>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</si>
  <si>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</si>
  <si>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</si>
  <si>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</si>
  <si>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</si>
  <si>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</si>
  <si>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</si>
  <si>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</si>
  <si>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</si>
  <si>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</si>
  <si>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</si>
  <si>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</si>
  <si>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</si>
  <si>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</si>
  <si>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</si>
  <si>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</si>
  <si>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</si>
  <si>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</si>
  <si>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</si>
  <si>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</si>
  <si>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</si>
  <si>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</si>
  <si>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</si>
  <si>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</si>
  <si>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</si>
  <si>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</si>
  <si>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</si>
  <si>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</si>
  <si>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</si>
  <si>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</si>
  <si>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</si>
  <si>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</si>
  <si>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</si>
  <si>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</si>
  <si>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</si>
  <si>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</si>
  <si>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</si>
  <si>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</si>
  <si>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</si>
  <si>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</si>
  <si>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</si>
  <si>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</si>
  <si>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</si>
  <si>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</si>
  <si>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</si>
  <si>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</si>
  <si>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</si>
  <si>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</si>
  <si>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</si>
  <si>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</si>
  <si>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</si>
  <si>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</si>
  <si>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</si>
  <si>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</si>
  <si>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</si>
  <si>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</si>
  <si>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</si>
  <si>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</si>
  <si>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</si>
  <si>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</si>
  <si>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</si>
  <si>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</si>
  <si>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</si>
  <si>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</si>
  <si>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</si>
  <si>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</si>
  <si>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</si>
  <si>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</si>
  <si>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</si>
  <si>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</si>
  <si>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</si>
  <si>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</si>
  <si>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</si>
  <si>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</si>
  <si>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</si>
  <si>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</si>
  <si>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</si>
  <si>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</si>
  <si>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</si>
  <si>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</si>
  <si>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</si>
  <si>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</si>
  <si>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</si>
  <si>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</si>
  <si>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</si>
  <si>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</si>
  <si>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</si>
  <si>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</si>
  <si>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</si>
  <si>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</si>
  <si>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</si>
  <si>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</si>
  <si>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</si>
  <si>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</si>
  <si>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</si>
  <si>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</si>
  <si>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</si>
  <si>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</si>
  <si>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</si>
  <si>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</si>
  <si>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</si>
  <si>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</si>
  <si>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</si>
  <si>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</si>
  <si>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</si>
  <si>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</si>
  <si>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</si>
  <si>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</si>
  <si>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</si>
  <si>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</si>
  <si>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</si>
  <si>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</si>
  <si>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</si>
  <si>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</si>
  <si>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</si>
  <si>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</si>
  <si>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</si>
  <si>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</si>
  <si>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</si>
  <si>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</si>
  <si>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</si>
  <si>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</si>
  <si>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</si>
  <si>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</si>
  <si>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</si>
  <si>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</si>
  <si>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</si>
  <si>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</si>
  <si>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</si>
  <si>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</si>
  <si>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</si>
  <si>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</si>
  <si>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</si>
  <si>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</si>
  <si>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</si>
  <si>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</si>
  <si>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</si>
  <si>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</si>
  <si>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</si>
  <si>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</si>
  <si>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</si>
  <si>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</si>
  <si>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</si>
  <si>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</si>
  <si>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</si>
  <si>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</si>
  <si>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</si>
  <si>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</si>
  <si>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</si>
  <si>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</si>
  <si>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</si>
  <si>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</si>
  <si>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</si>
  <si>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</si>
  <si>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</si>
  <si>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</si>
  <si>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</si>
  <si>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</si>
  <si>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</si>
  <si>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</si>
  <si>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</si>
  <si>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</si>
  <si>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</si>
  <si>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</si>
  <si>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</si>
  <si>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</si>
  <si>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</si>
  <si>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</si>
  <si>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</si>
  <si>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</si>
  <si>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</si>
  <si>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</si>
  <si>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</si>
  <si>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</si>
  <si>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</si>
  <si>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</si>
  <si>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</si>
  <si>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</si>
  <si>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</si>
  <si>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</si>
  <si>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</si>
  <si>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</si>
  <si>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</si>
  <si>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</si>
  <si>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</si>
  <si>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</si>
  <si>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</si>
  <si>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</si>
  <si>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</si>
  <si>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</si>
  <si>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</si>
  <si>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</si>
  <si>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</si>
  <si>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</si>
  <si>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</si>
  <si>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</si>
  <si>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</si>
  <si>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</si>
  <si>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</si>
  <si>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</si>
  <si>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</si>
  <si>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</si>
  <si>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</si>
  <si>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</si>
  <si>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</si>
  <si>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</si>
  <si>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</si>
  <si>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</si>
  <si>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</si>
  <si>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</si>
  <si>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</si>
  <si>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</si>
  <si>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</si>
  <si>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</si>
  <si>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</si>
  <si>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</si>
  <si>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</si>
  <si>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</si>
  <si>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</si>
  <si>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</si>
  <si>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</si>
  <si>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</si>
  <si>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</si>
  <si>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</si>
  <si>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</si>
  <si>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</si>
  <si>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</si>
  <si>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</si>
  <si>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</si>
  <si>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</si>
  <si>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</si>
  <si>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</si>
  <si>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</si>
  <si>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</si>
  <si>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</si>
  <si>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</si>
  <si>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</si>
  <si>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</si>
  <si>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</si>
  <si>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</si>
  <si>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</si>
  <si>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</si>
  <si>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</si>
  <si>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</si>
  <si>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</si>
  <si>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</si>
  <si>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</si>
  <si>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</si>
  <si>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</si>
  <si>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</si>
  <si>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</si>
  <si>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</si>
  <si>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</si>
  <si>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</si>
  <si>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</si>
  <si>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</si>
  <si>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</si>
  <si>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</si>
  <si>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</si>
  <si>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</si>
  <si>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</si>
  <si>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</si>
  <si>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</si>
  <si>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</si>
  <si>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</si>
  <si>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</si>
  <si>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</si>
  <si>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</si>
  <si>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</si>
  <si>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</si>
  <si>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</si>
  <si>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</si>
  <si>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</si>
  <si>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</si>
  <si>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</si>
  <si>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</si>
  <si>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</si>
  <si>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</si>
  <si>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</si>
  <si>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</si>
  <si>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</si>
  <si>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</si>
  <si>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</si>
  <si>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</si>
  <si>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</si>
  <si>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</si>
  <si>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</si>
  <si>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</si>
  <si>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</si>
  <si>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</si>
  <si>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</si>
  <si>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</si>
  <si>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</si>
  <si>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</si>
  <si>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</si>
  <si>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</si>
  <si>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</si>
  <si>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</si>
  <si>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</si>
  <si>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</si>
  <si>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</si>
  <si>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</si>
  <si>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</si>
  <si>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</si>
  <si>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</si>
  <si>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</si>
  <si>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</si>
  <si>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</si>
  <si>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</si>
  <si>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</si>
  <si>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</si>
  <si>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</si>
  <si>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</si>
  <si>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</si>
  <si>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</si>
  <si>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</si>
  <si>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</si>
  <si>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</si>
  <si>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</si>
  <si>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</si>
  <si>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</si>
  <si>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</si>
  <si>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</si>
  <si>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</si>
  <si>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</si>
  <si>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</si>
  <si>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</si>
  <si>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</si>
  <si>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</si>
  <si>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</si>
  <si>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</si>
  <si>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</si>
  <si>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</si>
  <si>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</si>
  <si>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</si>
  <si>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</si>
  <si>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</si>
  <si>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</si>
  <si>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</si>
  <si>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</si>
  <si>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</si>
  <si>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</si>
  <si>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</si>
  <si>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</si>
  <si>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</si>
  <si>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</si>
  <si>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</si>
  <si>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</si>
  <si>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</si>
  <si>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</si>
  <si>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</si>
  <si>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</si>
  <si>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</si>
  <si>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</si>
  <si>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</si>
  <si>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</si>
  <si>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</si>
  <si>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</si>
  <si>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</si>
  <si>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</si>
  <si>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</si>
  <si>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</si>
  <si>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</si>
  <si>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</si>
  <si>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</si>
  <si>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</si>
  <si>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</si>
  <si>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</si>
  <si>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</si>
  <si>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</si>
  <si>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</si>
  <si>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</si>
  <si>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</si>
  <si>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</si>
  <si>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</si>
  <si>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</si>
  <si>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</si>
  <si>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</si>
  <si>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</si>
  <si>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</si>
  <si>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</si>
  <si>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</si>
  <si>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</si>
  <si>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</si>
  <si>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</si>
  <si>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</si>
  <si>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</si>
  <si>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</si>
  <si>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</si>
  <si>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</si>
  <si>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</si>
  <si>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</si>
  <si>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</si>
  <si>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</si>
  <si>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</si>
  <si>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</si>
  <si>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</si>
  <si>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</si>
  <si>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</si>
  <si>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</si>
  <si>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</si>
  <si>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</si>
  <si>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</si>
  <si>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</si>
  <si>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</si>
  <si>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</si>
  <si>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</si>
  <si>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</si>
  <si>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</si>
  <si>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</si>
  <si>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</si>
  <si>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</si>
  <si>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</si>
  <si>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</si>
  <si>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</si>
  <si>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</si>
  <si>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</si>
  <si>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</si>
  <si>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</si>
  <si>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</si>
  <si>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</si>
  <si>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</si>
  <si>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</si>
  <si>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</si>
  <si>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</si>
  <si>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</si>
  <si>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</si>
  <si>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</si>
  <si>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</si>
  <si>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</si>
  <si>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</si>
  <si>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</si>
  <si>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</si>
  <si>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</si>
  <si>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</si>
  <si>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</si>
  <si>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</si>
  <si>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</si>
  <si>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</si>
  <si>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</si>
  <si>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</si>
  <si>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</si>
  <si>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</si>
  <si>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</si>
  <si>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</si>
  <si>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</si>
  <si>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</si>
  <si>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</si>
  <si>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</si>
  <si>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</si>
  <si>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</si>
  <si>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</si>
  <si>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</si>
  <si>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</si>
  <si>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</si>
  <si>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</si>
  <si>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</si>
  <si>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</si>
  <si>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</si>
  <si>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</si>
  <si>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</si>
  <si>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</si>
  <si>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</si>
  <si>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</si>
  <si>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</si>
  <si>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</si>
  <si>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</si>
  <si>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</si>
  <si>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</si>
  <si>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</si>
  <si>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</si>
  <si>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</si>
  <si>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</si>
  <si>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</si>
  <si>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</si>
  <si>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</si>
  <si>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</si>
  <si>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</si>
  <si>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</si>
  <si>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</si>
  <si>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</si>
  <si>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</si>
  <si>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</si>
  <si>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</si>
  <si>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</si>
  <si>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</si>
  <si>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</si>
  <si>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</si>
  <si>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</si>
  <si>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</si>
  <si>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</si>
  <si>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</si>
  <si>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</si>
  <si>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</si>
  <si>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</si>
  <si>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</si>
  <si>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</si>
  <si>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</si>
  <si>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</si>
  <si>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</si>
  <si>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</si>
  <si>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</si>
  <si>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</si>
  <si>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</si>
  <si>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</si>
  <si>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</si>
  <si>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</si>
  <si>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</si>
  <si>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</si>
  <si>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</si>
  <si>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</si>
  <si>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</si>
  <si>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</si>
  <si>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</si>
  <si>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</si>
  <si>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</si>
  <si>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</si>
  <si>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</si>
  <si>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</si>
  <si>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</si>
  <si>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</si>
  <si>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</si>
  <si>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</si>
  <si>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</si>
  <si>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</si>
  <si>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</si>
  <si>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</si>
  <si>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</si>
  <si>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</si>
  <si>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</si>
  <si>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</si>
  <si>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</si>
  <si>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</si>
  <si>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</si>
  <si>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</si>
  <si>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</si>
  <si>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</si>
  <si>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</si>
  <si>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</si>
  <si>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</si>
  <si>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</si>
  <si>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</si>
  <si>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</si>
  <si>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</si>
  <si>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</si>
  <si>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</si>
  <si>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</si>
  <si>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</si>
  <si>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</si>
  <si>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</si>
  <si>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</si>
  <si>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</si>
  <si>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</si>
  <si>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</si>
  <si>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</si>
  <si>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</si>
  <si>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</si>
  <si>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</si>
  <si>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</si>
  <si>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</si>
  <si>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</si>
  <si>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</si>
  <si>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</si>
  <si>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</si>
  <si>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</si>
  <si>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</si>
  <si>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</si>
  <si>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</si>
  <si>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</si>
  <si>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</si>
  <si>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</si>
  <si>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</si>
  <si>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</si>
  <si>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</si>
  <si>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</si>
  <si>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</si>
  <si>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</si>
  <si>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</si>
  <si>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</si>
  <si>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</si>
  <si>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</si>
  <si>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</si>
  <si>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</si>
  <si>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</si>
  <si>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</si>
  <si>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</si>
  <si>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</si>
  <si>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</si>
  <si>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</si>
  <si>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</si>
  <si>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</si>
  <si>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</si>
  <si>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</si>
  <si>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</si>
  <si>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</si>
  <si>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</si>
  <si>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</si>
  <si>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</si>
  <si>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</si>
  <si>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</si>
  <si>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</si>
  <si>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</si>
  <si>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</si>
  <si>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</si>
  <si>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</si>
  <si>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</si>
  <si>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</si>
  <si>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</si>
  <si>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</si>
  <si>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</si>
  <si>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</si>
  <si>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</si>
  <si>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</si>
  <si>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</si>
  <si>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</si>
  <si>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</si>
  <si>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</si>
  <si>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</si>
  <si>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</si>
  <si>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</si>
  <si>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</si>
  <si>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</si>
  <si>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</si>
  <si>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</si>
  <si>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</si>
  <si>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</si>
  <si>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</si>
  <si>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</si>
  <si>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</si>
  <si>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</si>
  <si>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</si>
  <si>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</si>
  <si>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</si>
  <si>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</si>
  <si>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</si>
  <si>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</si>
  <si>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</si>
  <si>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</si>
  <si>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</si>
  <si>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</si>
  <si>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</si>
  <si>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</si>
  <si>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</si>
  <si>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</si>
  <si>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</si>
  <si>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</si>
  <si>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</si>
  <si>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</si>
  <si>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</si>
  <si>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</si>
  <si>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</si>
  <si>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</si>
  <si>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</si>
  <si>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</si>
  <si>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</si>
  <si>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</si>
  <si>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</si>
  <si>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</si>
  <si>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</si>
  <si>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</si>
  <si>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</si>
  <si>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</si>
  <si>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</si>
  <si>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</si>
  <si>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</si>
  <si>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</si>
  <si>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</si>
  <si>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</si>
  <si>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</si>
  <si>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</si>
  <si>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</si>
  <si>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</si>
  <si>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</si>
  <si>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</si>
  <si>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</si>
  <si>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</si>
  <si>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</si>
  <si>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</si>
  <si>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</si>
  <si>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</si>
  <si>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</si>
  <si>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</si>
  <si>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</si>
  <si>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</si>
  <si>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</si>
  <si>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</si>
  <si>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</si>
  <si>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</si>
  <si>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</si>
  <si>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</si>
  <si>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</si>
  <si>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</si>
  <si>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</si>
  <si>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</si>
  <si>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</si>
  <si>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</si>
  <si>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</si>
  <si>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</si>
  <si>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</si>
  <si>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</si>
  <si>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</si>
  <si>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</si>
  <si>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</si>
  <si>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</si>
  <si>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</si>
  <si>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</si>
  <si>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</si>
  <si>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</si>
  <si>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</si>
  <si>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</si>
  <si>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</si>
  <si>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</si>
  <si>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</si>
  <si>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</si>
  <si>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</si>
  <si>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</si>
  <si>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</si>
  <si>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</si>
  <si>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</si>
  <si>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</si>
  <si>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</si>
  <si>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</si>
  <si>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</si>
  <si>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</si>
  <si>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</si>
  <si>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</si>
  <si>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</si>
  <si>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</si>
  <si>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</si>
  <si>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</si>
  <si>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</si>
  <si>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</si>
  <si>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</si>
  <si>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</si>
  <si>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</si>
  <si>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</si>
  <si>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</si>
  <si>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</si>
  <si>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</si>
  <si>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</si>
  <si>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</si>
  <si>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</si>
  <si>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</si>
  <si>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</si>
  <si>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</si>
  <si>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</si>
  <si>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</si>
  <si>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</si>
  <si>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</si>
  <si>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</si>
  <si>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</si>
  <si>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</si>
  <si>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</si>
  <si>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</si>
  <si>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</si>
  <si>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</si>
  <si>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</si>
  <si>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</si>
  <si>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</si>
  <si>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</si>
  <si>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</si>
  <si>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</si>
  <si>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</si>
  <si>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</si>
  <si>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</si>
  <si>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</si>
  <si>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</si>
  <si>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</si>
  <si>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</si>
  <si>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</si>
  <si>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</si>
  <si>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</si>
  <si>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</si>
  <si>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</si>
  <si>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</si>
  <si>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</si>
  <si>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</si>
  <si>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</si>
  <si>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</si>
  <si>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</si>
  <si>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</si>
  <si>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</si>
  <si>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</si>
  <si>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</si>
  <si>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</si>
  <si>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2023 Mars</t>
  </si>
  <si>
    <t>2023 Nëntor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</si>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</sst>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9" applyBorder="0"/>
  </cellStyleXfs>
  <cellXfs count="1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8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165" fontId="21" fillId="0" borderId="10" xfId="1" applyNumberFormat="1" applyFont="1" applyBorder="1" applyAlignment="1">
      <alignment horizontal="right"/>
    </xf>
    <xf numFmtId="165" fontId="17" fillId="34" borderId="10" xfId="1" applyNumberFormat="1" applyFont="1" applyFill="1" applyBorder="1"/>
    <xf numFmtId="4" fontId="17" fillId="34" borderId="10" xfId="1" applyNumberFormat="1" applyFont="1" applyFill="1" applyBorder="1"/>
    <xf numFmtId="165" fontId="1" fillId="0" borderId="10" xfId="1" applyNumberFormat="1" applyFont="1" applyBorder="1" applyAlignment="1">
      <alignment horizontal="right"/>
    </xf>
    <xf numFmtId="165" fontId="1" fillId="0" borderId="10" xfId="1" applyNumberFormat="1" applyFont="1" applyBorder="1"/>
    <xf numFmtId="4" fontId="1" fillId="0" borderId="10" xfId="1" applyNumberFormat="1" applyFont="1" applyBorder="1" applyAlignment="1">
      <alignment horizontal="right"/>
    </xf>
    <xf numFmtId="4" fontId="1" fillId="0" borderId="10" xfId="1" applyNumberFormat="1" applyFont="1" applyBorder="1"/>
    <xf numFmtId="165" fontId="21" fillId="38" borderId="10" xfId="1" applyNumberFormat="1" applyFont="1" applyFill="1" applyBorder="1" applyAlignment="1">
      <alignment horizontal="right"/>
    </xf>
    <xf numFmtId="165" fontId="21" fillId="2" borderId="10" xfId="119" applyNumberFormat="1" applyFont="1" applyFill="1" applyBorder="1" applyAlignment="1">
      <alignment horizontal="right"/>
    </xf>
    <xf numFmtId="165" fontId="21" fillId="38" borderId="10" xfId="119" applyNumberFormat="1" applyFont="1" applyFill="1" applyBorder="1" applyAlignment="1">
      <alignment horizontal="right"/>
    </xf>
    <xf numFmtId="165" fontId="21" fillId="2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3" fontId="0" fillId="2" borderId="0" xfId="0" applyNumberFormat="1" applyFont="1" applyFill="1"/>
    <xf numFmtId="43" fontId="0" fillId="0" borderId="10" xfId="1" applyNumberFormat="1" applyFont="1" applyBorder="1" applyProtection="1">
      <protection hidden="1"/>
    </xf>
    <xf numFmtId="43" fontId="0" fillId="0" borderId="12" xfId="1" applyNumberFormat="1" applyFont="1" applyBorder="1" applyProtection="1">
      <protection hidden="1"/>
    </xf>
    <xf numFmtId="43" fontId="0" fillId="0" borderId="12" xfId="1" applyNumberFormat="1" applyFont="1" applyFill="1" applyBorder="1" applyProtection="1">
      <protection hidden="1"/>
    </xf>
    <xf numFmtId="43" fontId="17" fillId="34" borderId="13" xfId="1" applyNumberFormat="1" applyFont="1" applyFill="1" applyBorder="1" applyAlignment="1" applyProtection="1">
      <alignment horizontal="center"/>
      <protection hidden="1"/>
    </xf>
    <xf numFmtId="4" fontId="21" fillId="38" borderId="10" xfId="1" applyNumberFormat="1" applyFont="1" applyFill="1" applyBorder="1" applyAlignment="1">
      <alignment horizontal="right"/>
    </xf>
    <xf numFmtId="4" fontId="21" fillId="2" borderId="10" xfId="119" applyNumberFormat="1" applyFont="1" applyFill="1" applyBorder="1" applyAlignment="1">
      <alignment horizontal="right"/>
    </xf>
    <xf numFmtId="4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165" fontId="21" fillId="2" borderId="10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3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/>
    <xf numFmtId="43" fontId="0" fillId="0" borderId="23" xfId="1" applyNumberFormat="1" applyFont="1" applyBorder="1" applyProtection="1">
      <protection hidden="1"/>
    </xf>
    <xf numFmtId="43" fontId="0" fillId="0" borderId="30" xfId="1" applyNumberFormat="1" applyFont="1" applyBorder="1" applyProtection="1">
      <protection hidden="1"/>
    </xf>
    <xf numFmtId="43" fontId="24" fillId="0" borderId="31" xfId="1" applyNumberFormat="1" applyFont="1" applyBorder="1" applyProtection="1">
      <protection hidden="1"/>
    </xf>
    <xf numFmtId="43" fontId="0" fillId="0" borderId="31" xfId="1" applyNumberFormat="1" applyFont="1" applyBorder="1" applyProtection="1">
      <protection hidden="1"/>
    </xf>
    <xf numFmtId="43" fontId="24" fillId="0" borderId="32" xfId="1" applyNumberFormat="1" applyFont="1" applyBorder="1" applyProtection="1">
      <protection hidden="1"/>
    </xf>
    <xf numFmtId="43" fontId="1" fillId="2" borderId="13" xfId="1" applyNumberFormat="1" applyFont="1" applyFill="1" applyBorder="1" applyAlignment="1" applyProtection="1">
      <alignment horizontal="center"/>
      <protection hidden="1"/>
    </xf>
    <xf numFmtId="43" fontId="1" fillId="2" borderId="33" xfId="1" applyNumberFormat="1" applyFont="1" applyFill="1" applyBorder="1" applyAlignment="1" applyProtection="1">
      <alignment horizontal="center"/>
      <protection hidden="1"/>
    </xf>
    <xf numFmtId="43" fontId="0" fillId="0" borderId="30" xfId="1" applyNumberFormat="1" applyFont="1" applyFill="1" applyBorder="1" applyProtection="1">
      <protection hidden="1"/>
    </xf>
    <xf numFmtId="43" fontId="17" fillId="34" borderId="25" xfId="1" applyNumberFormat="1" applyFont="1" applyFill="1" applyBorder="1" applyAlignment="1" applyProtection="1">
      <alignment horizontal="center"/>
      <protection hidden="1"/>
    </xf>
    <xf numFmtId="43" fontId="0" fillId="0" borderId="32" xfId="1" applyNumberFormat="1" applyFont="1" applyBorder="1" applyProtection="1">
      <protection hidden="1"/>
    </xf>
    <xf numFmtId="43" fontId="17" fillId="34" borderId="22" xfId="1" applyNumberFormat="1" applyFont="1" applyFill="1" applyBorder="1" applyAlignment="1" applyProtection="1">
      <alignment horizont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43" fontId="0" fillId="0" borderId="34" xfId="1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43" fontId="0" fillId="0" borderId="35" xfId="1" applyNumberFormat="1" applyFont="1" applyBorder="1" applyProtection="1">
      <protection hidden="1"/>
    </xf>
    <xf numFmtId="43" fontId="0" fillId="0" borderId="35" xfId="1" applyNumberFormat="1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17" fillId="34" borderId="22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3" fontId="0" fillId="0" borderId="10" xfId="1" applyNumberFormat="1" applyFont="1" applyBorder="1" applyAlignment="1">
      <alignment horizontal="right"/>
    </xf>
    <xf numFmtId="4" fontId="0" fillId="2" borderId="0" xfId="0" applyNumberFormat="1" applyFont="1" applyFill="1"/>
    <xf numFmtId="43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43" fontId="0" fillId="0" borderId="0" xfId="1" applyNumberFormat="1" applyFont="1" applyFill="1" applyBorder="1" applyProtection="1"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4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utrime.bytyqi/AppData/Local/Microsoft/Windows/Temporary%20Internet%20Files/Content.Outlook/DA3U1Z4O/Copy%20of%20Formati%20Raporti%20mujor%20i%20shpenzimev%20buxhe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nik.sylejmani.MUN/AppData/Local/Microsoft/Windows/INetCache/Content.Outlook/GPDCZGXP/11_Formati-Raporti-mujor-i-shpenzimev-buxhetore-nento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2">
          <cell r="G2" t="str">
            <v>Tabela 1: Pagesat</v>
          </cell>
        </row>
        <row r="4">
          <cell r="I4" t="str">
            <v>Gjithsejt Pagesat</v>
          </cell>
          <cell r="J4" t="str">
            <v>Shpenzimet</v>
          </cell>
          <cell r="S4" t="str">
            <v>Qeveria Lokale</v>
          </cell>
          <cell r="T4" t="str">
            <v>Paga</v>
          </cell>
          <cell r="U4" t="str">
            <v>Mallra dhe shërbime</v>
          </cell>
          <cell r="V4" t="str">
            <v>Shpenzime komunale</v>
          </cell>
          <cell r="W4" t="str">
            <v>Subvencione dhe Transfere</v>
          </cell>
          <cell r="X4" t="str">
            <v>Shpenzime Kapitale</v>
          </cell>
        </row>
        <row r="11">
          <cell r="G11" t="str">
            <v>Tabela 1: Plaćanja</v>
          </cell>
        </row>
        <row r="13">
          <cell r="I13" t="str">
            <v>Ukupno plaćanja</v>
          </cell>
          <cell r="J13" t="str">
            <v>Troškovi</v>
          </cell>
          <cell r="S13" t="str">
            <v>Lokalna vlada</v>
          </cell>
          <cell r="T13" t="str">
            <v>Plate</v>
          </cell>
          <cell r="U13" t="str">
            <v>Roba i usluge</v>
          </cell>
          <cell r="V13" t="str">
            <v>Komunalije</v>
          </cell>
          <cell r="W13" t="str">
            <v>Subvencije i transferi</v>
          </cell>
          <cell r="X13" t="str">
            <v>Kapitalni troškovi</v>
          </cell>
        </row>
        <row r="21">
          <cell r="G21" t="str">
            <v>Table 1: Payments</v>
          </cell>
        </row>
        <row r="23">
          <cell r="I23" t="str">
            <v>Total Payments</v>
          </cell>
          <cell r="J23" t="str">
            <v>Budget Expenditures</v>
          </cell>
          <cell r="S23" t="str">
            <v>Local Government</v>
          </cell>
          <cell r="T23" t="str">
            <v>Wages and Salaries</v>
          </cell>
          <cell r="U23" t="str">
            <v>Goods and Services</v>
          </cell>
          <cell r="V23" t="str">
            <v>Utilities</v>
          </cell>
          <cell r="W23" t="str">
            <v>Subventions and Transfers</v>
          </cell>
          <cell r="X23" t="str">
            <v>Capital Investments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6">
          <cell r="G6" t="str">
            <v>Tabela 2: Pranimet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6">
          <cell r="G16" t="str">
            <v>Tabela 2: Prijemi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6">
          <cell r="G26" t="str">
            <v>Table 2: Receipts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42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K35" sqref="K35"/>
    </sheetView>
  </sheetViews>
  <sheetFormatPr defaultColWidth="9.140625" defaultRowHeight="15" x14ac:dyDescent="0.25"/>
  <cols>
    <col min="1" max="1" width="5.42578125" style="71" customWidth="1"/>
    <col min="2" max="2" width="14.140625" style="71" customWidth="1"/>
    <col min="3" max="3" width="15.28515625" style="71" customWidth="1"/>
    <col min="4" max="4" width="15.140625" style="71" hidden="1" customWidth="1"/>
    <col min="5" max="5" width="14.5703125" style="82" customWidth="1"/>
    <col min="6" max="7" width="15.140625" style="71" bestFit="1" customWidth="1"/>
    <col min="8" max="8" width="13.28515625" style="71" bestFit="1" customWidth="1"/>
    <col min="9" max="9" width="14.28515625" style="71" bestFit="1" customWidth="1"/>
    <col min="10" max="10" width="15.28515625" style="71" bestFit="1" customWidth="1"/>
    <col min="11" max="12" width="15.140625" style="71" bestFit="1" customWidth="1"/>
    <col min="13" max="13" width="14.5703125" style="71" customWidth="1"/>
    <col min="14" max="14" width="15.28515625" style="71" customWidth="1"/>
    <col min="15" max="15" width="14.28515625" style="71" bestFit="1" customWidth="1"/>
    <col min="16" max="16" width="13.28515625" style="71" bestFit="1" customWidth="1"/>
    <col min="17" max="17" width="13.85546875" style="71" customWidth="1"/>
    <col min="18" max="18" width="15.140625" style="71" bestFit="1" customWidth="1"/>
    <col min="19" max="19" width="13.85546875" style="71" bestFit="1" customWidth="1"/>
    <col min="20" max="20" width="11.42578125" style="71" customWidth="1"/>
    <col min="21" max="21" width="12.140625" style="71" bestFit="1" customWidth="1"/>
    <col min="22" max="22" width="12.42578125" style="71" bestFit="1" customWidth="1"/>
    <col min="23" max="16384" width="9.140625" style="71"/>
  </cols>
  <sheetData>
    <row r="1" spans="1:22" ht="26.25" customHeight="1" x14ac:dyDescent="0.25">
      <c r="A1" s="68" t="str">
        <f>IF([1]L!$A$1=1,[1]L!G2,IF([1]L!$A$1=2,[1]L!G11,[1]L!G21))</f>
        <v>Tabela 1: Pagesat</v>
      </c>
      <c r="B1" s="69"/>
      <c r="C1" s="70"/>
      <c r="D1" s="152" t="s">
        <v>609</v>
      </c>
      <c r="E1" s="72"/>
      <c r="F1" s="70"/>
      <c r="G1" s="70"/>
      <c r="H1" s="70"/>
      <c r="I1" s="70"/>
      <c r="J1" s="70"/>
      <c r="M1" s="83"/>
      <c r="N1"/>
      <c r="O1" s="83"/>
      <c r="P1" s="83"/>
      <c r="R1" s="83"/>
    </row>
    <row r="2" spans="1:22" ht="18.75" customHeight="1" x14ac:dyDescent="0.25">
      <c r="A2" s="91" t="s">
        <v>876</v>
      </c>
      <c r="B2" s="73"/>
      <c r="C2" s="73"/>
      <c r="D2" s="153"/>
      <c r="E2" s="74"/>
      <c r="F2" s="74"/>
      <c r="G2" s="74"/>
      <c r="H2" s="74"/>
      <c r="I2" s="74"/>
      <c r="J2" s="74"/>
      <c r="O2" s="83"/>
    </row>
    <row r="3" spans="1:22" s="75" customFormat="1" ht="12.75" customHeight="1" x14ac:dyDescent="0.25">
      <c r="A3" s="154"/>
      <c r="B3" s="154"/>
      <c r="C3" s="132"/>
      <c r="D3" s="84"/>
      <c r="E3" s="77"/>
      <c r="F3" s="78"/>
      <c r="G3" s="78"/>
      <c r="H3" s="78"/>
      <c r="I3" s="78"/>
      <c r="J3" s="79"/>
      <c r="K3" s="77"/>
      <c r="L3" s="78"/>
      <c r="M3" s="78"/>
      <c r="N3" s="78"/>
      <c r="O3" s="78"/>
      <c r="P3" s="79"/>
      <c r="Q3" s="77"/>
      <c r="R3" s="78"/>
      <c r="S3" s="78"/>
      <c r="T3" s="78"/>
      <c r="U3" s="78"/>
      <c r="V3" s="79"/>
    </row>
    <row r="4" spans="1:22" s="75" customFormat="1" ht="12.75" customHeight="1" x14ac:dyDescent="0.25">
      <c r="A4" s="155"/>
      <c r="B4" s="155"/>
      <c r="C4" s="76"/>
      <c r="D4" s="116"/>
      <c r="E4" s="80"/>
      <c r="F4" s="84"/>
      <c r="G4" s="114"/>
      <c r="H4" s="114"/>
      <c r="I4" s="114"/>
      <c r="J4" s="114"/>
      <c r="K4" s="80"/>
      <c r="L4" s="84"/>
      <c r="M4" s="114"/>
      <c r="N4" s="114"/>
      <c r="O4" s="114"/>
      <c r="P4" s="114"/>
      <c r="Q4" s="80"/>
      <c r="R4" s="84"/>
      <c r="S4" s="114"/>
      <c r="T4" s="114"/>
      <c r="U4" s="150" t="s">
        <v>21</v>
      </c>
      <c r="V4" s="114"/>
    </row>
    <row r="5" spans="1:22" s="81" customFormat="1" ht="57" customHeight="1" x14ac:dyDescent="0.25">
      <c r="A5" s="155"/>
      <c r="B5" s="156"/>
      <c r="C5" s="140" t="str">
        <f>IF([1]L!$A$1=1,[1]L!I4,IF([1]L!$A$1=2,[1]L!I13,[1]L!I23))</f>
        <v>Gjithsejt Pagesat</v>
      </c>
      <c r="D5" s="115" t="str">
        <f>IF([1]L!$A$1=1,[1]L!J4,IF([1]L!$A$1=2,[1]L!J13,[1]L!J23))</f>
        <v>Shpenzimet</v>
      </c>
      <c r="E5" s="115" t="str">
        <f>IF([1]L!$A$1=1,[1]L!S4,IF([1]L!$A$1=2,[1]L!S13,[1]L!S23))</f>
        <v>Qeveria Lokale</v>
      </c>
      <c r="F5" s="115" t="str">
        <f>IF([1]L!$A$1=1,[1]L!T4,IF([1]L!$A$1=2,[1]L!T13,[1]L!T23))</f>
        <v>Paga</v>
      </c>
      <c r="G5" s="115" t="str">
        <f>IF([1]L!$A$1=1,[1]L!U4,IF([1]L!$A$1=2,[1]L!U13,[1]L!U23))</f>
        <v>Mallra dhe shërbime</v>
      </c>
      <c r="H5" s="115" t="str">
        <f>IF([1]L!$A$1=1,[1]L!V4,IF([1]L!$A$1=2,[1]L!V13,[1]L!V23))</f>
        <v>Shpenzime komunale</v>
      </c>
      <c r="I5" s="115" t="str">
        <f>IF([1]L!$A$1=1,[1]L!W4,IF([1]L!$A$1=2,[1]L!W13,[1]L!W23))</f>
        <v>Subvencione dhe Transfere</v>
      </c>
      <c r="J5" s="115" t="str">
        <f>IF([1]L!$A$1=1,[1]L!X4,IF([1]L!$A$1=2,[1]L!X13,[1]L!X23))</f>
        <v>Shpenzime Kapitale</v>
      </c>
      <c r="K5" s="115" t="s">
        <v>868</v>
      </c>
      <c r="L5" s="115" t="s">
        <v>0</v>
      </c>
      <c r="M5" s="115" t="s">
        <v>32</v>
      </c>
      <c r="N5" s="115" t="s">
        <v>33</v>
      </c>
      <c r="O5" s="115" t="s">
        <v>21</v>
      </c>
      <c r="P5" s="115" t="s">
        <v>35</v>
      </c>
      <c r="Q5" s="115" t="s">
        <v>869</v>
      </c>
      <c r="R5" s="115" t="s">
        <v>0</v>
      </c>
      <c r="S5" s="115" t="s">
        <v>32</v>
      </c>
      <c r="T5" s="115" t="s">
        <v>33</v>
      </c>
      <c r="U5" s="151"/>
      <c r="V5" s="115" t="s">
        <v>35</v>
      </c>
    </row>
    <row r="6" spans="1:22" x14ac:dyDescent="0.25">
      <c r="A6" s="146">
        <v>2023</v>
      </c>
      <c r="B6" s="137" t="s">
        <v>758</v>
      </c>
      <c r="C6" s="106">
        <f>E6+K6+Q6</f>
        <v>1271554.2</v>
      </c>
      <c r="D6" s="121">
        <f t="shared" ref="D6:D17" si="0">+E6+K6+Q6</f>
        <v>1271554.2</v>
      </c>
      <c r="E6" s="126">
        <f>SUM(F6:J6)</f>
        <v>147345.01999999999</v>
      </c>
      <c r="F6" s="123">
        <v>147345.01999999999</v>
      </c>
      <c r="G6" s="106">
        <v>0</v>
      </c>
      <c r="H6" s="106">
        <v>0</v>
      </c>
      <c r="I6" s="106">
        <v>0</v>
      </c>
      <c r="J6" s="121">
        <v>0</v>
      </c>
      <c r="K6" s="126">
        <f>SUM(L6:P6)</f>
        <v>907308.68</v>
      </c>
      <c r="L6" s="124">
        <v>907308.68</v>
      </c>
      <c r="M6" s="106">
        <v>0</v>
      </c>
      <c r="N6" s="106">
        <v>0</v>
      </c>
      <c r="O6" s="106">
        <v>0</v>
      </c>
      <c r="P6" s="121">
        <v>0</v>
      </c>
      <c r="Q6" s="126">
        <f>SUM(R6:V6)</f>
        <v>216900.5</v>
      </c>
      <c r="R6" s="124">
        <v>216900.5</v>
      </c>
      <c r="S6" s="106">
        <v>0</v>
      </c>
      <c r="T6" s="106">
        <v>0</v>
      </c>
      <c r="U6" s="106">
        <v>0</v>
      </c>
      <c r="V6" s="133">
        <v>0</v>
      </c>
    </row>
    <row r="7" spans="1:22" x14ac:dyDescent="0.25">
      <c r="A7" s="147"/>
      <c r="B7" s="137" t="s">
        <v>761</v>
      </c>
      <c r="C7" s="106">
        <f t="shared" ref="C7:C11" si="1">E7+K7+Q7</f>
        <v>3172294.96</v>
      </c>
      <c r="D7" s="121">
        <f t="shared" si="0"/>
        <v>3172294.96</v>
      </c>
      <c r="E7" s="127">
        <f t="shared" ref="E7:E11" si="2">SUM(F7:J7)</f>
        <v>1322096.74</v>
      </c>
      <c r="F7" s="124">
        <v>200470.88</v>
      </c>
      <c r="G7" s="106">
        <v>712029.92</v>
      </c>
      <c r="H7" s="106">
        <v>172050</v>
      </c>
      <c r="I7" s="106">
        <v>0</v>
      </c>
      <c r="J7" s="121">
        <v>237545.94</v>
      </c>
      <c r="K7" s="126">
        <f t="shared" ref="K7:K16" si="3">SUM(L7:P7)</f>
        <v>1466139.6199999999</v>
      </c>
      <c r="L7" s="124">
        <v>1369282.42</v>
      </c>
      <c r="M7" s="106">
        <v>96857.2</v>
      </c>
      <c r="N7" s="106">
        <v>0</v>
      </c>
      <c r="O7" s="106">
        <v>0</v>
      </c>
      <c r="P7" s="121">
        <v>0</v>
      </c>
      <c r="Q7" s="126">
        <f t="shared" ref="Q7:Q17" si="4">SUM(R7:V7)</f>
        <v>384058.6</v>
      </c>
      <c r="R7" s="124">
        <v>376972.54</v>
      </c>
      <c r="S7" s="106">
        <v>7086.06</v>
      </c>
      <c r="T7" s="106">
        <v>0</v>
      </c>
      <c r="U7" s="106">
        <v>0</v>
      </c>
      <c r="V7" s="133">
        <v>0</v>
      </c>
    </row>
    <row r="8" spans="1:22" x14ac:dyDescent="0.25">
      <c r="A8" s="147"/>
      <c r="B8" s="137" t="s">
        <v>879</v>
      </c>
      <c r="C8" s="106">
        <f t="shared" si="1"/>
        <v>3198100.21</v>
      </c>
      <c r="D8" s="121">
        <f t="shared" si="0"/>
        <v>3198100.21</v>
      </c>
      <c r="E8" s="127">
        <f t="shared" si="2"/>
        <v>1506923.76</v>
      </c>
      <c r="F8" s="123">
        <v>190207.81</v>
      </c>
      <c r="G8" s="106">
        <v>638517.74</v>
      </c>
      <c r="H8" s="106">
        <v>1435.97</v>
      </c>
      <c r="I8" s="106">
        <v>233013.8</v>
      </c>
      <c r="J8" s="121">
        <v>443748.44</v>
      </c>
      <c r="K8" s="126">
        <f t="shared" si="3"/>
        <v>1336488.3999999999</v>
      </c>
      <c r="L8" s="124">
        <v>1103595.69</v>
      </c>
      <c r="M8" s="106">
        <v>197501.58</v>
      </c>
      <c r="N8" s="106">
        <v>35391.129999999997</v>
      </c>
      <c r="O8" s="106">
        <v>0</v>
      </c>
      <c r="P8" s="121">
        <v>0</v>
      </c>
      <c r="Q8" s="126">
        <f t="shared" si="4"/>
        <v>354688.05000000005</v>
      </c>
      <c r="R8" s="124">
        <v>250386.67</v>
      </c>
      <c r="S8" s="106">
        <v>2585</v>
      </c>
      <c r="T8" s="106">
        <v>2516.38</v>
      </c>
      <c r="U8" s="106">
        <v>99200</v>
      </c>
      <c r="V8" s="133">
        <v>0</v>
      </c>
    </row>
    <row r="9" spans="1:22" x14ac:dyDescent="0.25">
      <c r="A9" s="147"/>
      <c r="B9" s="137" t="s">
        <v>767</v>
      </c>
      <c r="C9" s="106">
        <f t="shared" si="1"/>
        <v>5345416.26</v>
      </c>
      <c r="D9" s="121">
        <f t="shared" si="0"/>
        <v>5345416.26</v>
      </c>
      <c r="E9" s="127">
        <f t="shared" si="2"/>
        <v>2976162.62</v>
      </c>
      <c r="F9" s="123">
        <v>190262.77</v>
      </c>
      <c r="G9" s="106">
        <v>821030.51</v>
      </c>
      <c r="H9" s="106">
        <v>124722.88</v>
      </c>
      <c r="I9" s="106">
        <v>28667</v>
      </c>
      <c r="J9">
        <v>1811479.46</v>
      </c>
      <c r="K9" s="126">
        <f t="shared" si="3"/>
        <v>1662470.81</v>
      </c>
      <c r="L9" s="124">
        <v>1389975.85</v>
      </c>
      <c r="M9" s="106">
        <v>254841.67</v>
      </c>
      <c r="N9" s="106">
        <v>17653.29</v>
      </c>
      <c r="O9" s="106">
        <v>0</v>
      </c>
      <c r="P9" s="121">
        <v>0</v>
      </c>
      <c r="Q9" s="126">
        <f t="shared" si="4"/>
        <v>706782.83000000007</v>
      </c>
      <c r="R9" s="124">
        <v>277485.43</v>
      </c>
      <c r="S9" s="106">
        <v>409692.63</v>
      </c>
      <c r="T9" s="106">
        <v>14704.77</v>
      </c>
      <c r="U9" s="106">
        <v>4900</v>
      </c>
      <c r="V9" s="133">
        <v>0</v>
      </c>
    </row>
    <row r="10" spans="1:22" x14ac:dyDescent="0.25">
      <c r="A10" s="147"/>
      <c r="B10" s="137" t="s">
        <v>769</v>
      </c>
      <c r="C10" s="106">
        <f t="shared" si="1"/>
        <v>3115278.33</v>
      </c>
      <c r="D10" s="121">
        <f t="shared" si="0"/>
        <v>3115278.33</v>
      </c>
      <c r="E10" s="127">
        <f t="shared" si="2"/>
        <v>1287958.9100000001</v>
      </c>
      <c r="F10" s="123">
        <v>205405.67</v>
      </c>
      <c r="G10" s="106">
        <v>347400.12</v>
      </c>
      <c r="H10" s="106">
        <v>50250.36</v>
      </c>
      <c r="I10" s="106">
        <v>16224.8</v>
      </c>
      <c r="J10" s="121">
        <v>668677.96</v>
      </c>
      <c r="K10" s="126">
        <f>SUM(L10:P10)</f>
        <v>1437409.2899999998</v>
      </c>
      <c r="L10" s="106">
        <v>1111639.95</v>
      </c>
      <c r="M10" s="106">
        <v>92576.69</v>
      </c>
      <c r="N10" s="106">
        <v>12017.65</v>
      </c>
      <c r="O10" s="106">
        <v>149000</v>
      </c>
      <c r="P10" s="121">
        <v>72175</v>
      </c>
      <c r="Q10" s="126">
        <f t="shared" si="4"/>
        <v>389910.13</v>
      </c>
      <c r="R10" s="124">
        <v>267192.62</v>
      </c>
      <c r="S10" s="106">
        <v>96700.18</v>
      </c>
      <c r="T10" s="106">
        <v>4217.33</v>
      </c>
      <c r="U10" s="106">
        <v>21800</v>
      </c>
      <c r="V10" s="133">
        <v>0</v>
      </c>
    </row>
    <row r="11" spans="1:22" x14ac:dyDescent="0.25">
      <c r="A11" s="147"/>
      <c r="B11" s="137" t="s">
        <v>771</v>
      </c>
      <c r="C11" s="106">
        <f t="shared" si="1"/>
        <v>2931962.07</v>
      </c>
      <c r="D11" s="121">
        <f t="shared" si="0"/>
        <v>2931962.07</v>
      </c>
      <c r="E11" s="127">
        <f t="shared" si="2"/>
        <v>1097538.02</v>
      </c>
      <c r="F11" s="123">
        <v>193551.86</v>
      </c>
      <c r="G11" s="106">
        <v>493795.85</v>
      </c>
      <c r="H11" s="106">
        <v>713.91</v>
      </c>
      <c r="I11" s="106">
        <v>42023</v>
      </c>
      <c r="J11" s="121">
        <v>367453.4</v>
      </c>
      <c r="K11" s="126">
        <f>SUM(L11:P11)</f>
        <v>1402220.5299999998</v>
      </c>
      <c r="L11" s="106">
        <v>1118185.18</v>
      </c>
      <c r="M11" s="106">
        <v>71455.149999999994</v>
      </c>
      <c r="N11" s="106">
        <v>12630.2</v>
      </c>
      <c r="O11" s="106">
        <v>0</v>
      </c>
      <c r="P11" s="121">
        <v>199950</v>
      </c>
      <c r="Q11" s="126">
        <f t="shared" si="4"/>
        <v>432203.52000000002</v>
      </c>
      <c r="R11" s="124">
        <v>260207.23</v>
      </c>
      <c r="S11" s="106">
        <v>153573.32</v>
      </c>
      <c r="T11" s="106">
        <v>3322.97</v>
      </c>
      <c r="U11" s="106">
        <v>15100</v>
      </c>
      <c r="V11" s="133">
        <v>0</v>
      </c>
    </row>
    <row r="12" spans="1:22" x14ac:dyDescent="0.25">
      <c r="A12" s="147"/>
      <c r="B12" s="137" t="s">
        <v>774</v>
      </c>
      <c r="C12" s="106">
        <f>E12+K12+Q12</f>
        <v>6282526.9800000004</v>
      </c>
      <c r="D12" s="121">
        <f t="shared" si="0"/>
        <v>6282526.9800000004</v>
      </c>
      <c r="E12" s="127">
        <f>SUM(F12:J12)</f>
        <v>3845441.47</v>
      </c>
      <c r="F12" s="123">
        <v>194373.16</v>
      </c>
      <c r="G12" s="106">
        <v>931425.14</v>
      </c>
      <c r="H12" s="106">
        <v>115178.76</v>
      </c>
      <c r="I12" s="106">
        <v>328157.92</v>
      </c>
      <c r="J12" s="121">
        <v>2276306.4900000002</v>
      </c>
      <c r="K12" s="126">
        <f>SUM(L12:P12)</f>
        <v>1678587.64</v>
      </c>
      <c r="L12" s="106">
        <v>1314984.6499999999</v>
      </c>
      <c r="M12" s="106">
        <v>143248.44</v>
      </c>
      <c r="N12" s="106">
        <v>13036.25</v>
      </c>
      <c r="O12" s="106">
        <v>179500</v>
      </c>
      <c r="P12" s="121">
        <v>27818.3</v>
      </c>
      <c r="Q12" s="126">
        <f t="shared" si="4"/>
        <v>758497.87</v>
      </c>
      <c r="R12" s="124">
        <v>264221.02</v>
      </c>
      <c r="S12" s="106">
        <v>134565.12</v>
      </c>
      <c r="T12" s="106">
        <v>3745.14</v>
      </c>
      <c r="U12" s="106">
        <v>122900</v>
      </c>
      <c r="V12" s="133">
        <v>233066.59</v>
      </c>
    </row>
    <row r="13" spans="1:22" x14ac:dyDescent="0.25">
      <c r="A13" s="147"/>
      <c r="B13" s="137" t="s">
        <v>777</v>
      </c>
      <c r="C13" s="106">
        <f>E13+K13+Q13</f>
        <v>3175380.6200000006</v>
      </c>
      <c r="D13" s="121">
        <f t="shared" si="0"/>
        <v>3175380.6200000006</v>
      </c>
      <c r="E13" s="127">
        <f>SUM(F13:J13)</f>
        <v>973123.37000000011</v>
      </c>
      <c r="F13" s="123">
        <v>199035.92</v>
      </c>
      <c r="G13" s="106">
        <v>185407.22</v>
      </c>
      <c r="H13" s="106">
        <f>172050+58.76+74.95</f>
        <v>172183.71000000002</v>
      </c>
      <c r="I13" s="106">
        <v>47249.3</v>
      </c>
      <c r="J13" s="121">
        <v>369247.22</v>
      </c>
      <c r="K13" s="126">
        <f t="shared" si="3"/>
        <v>1647262.36</v>
      </c>
      <c r="L13" s="124">
        <f>6235.99+18602.63+157279.59+15071.16+10616.96+21450.82+12057.32+9335.88+12831.79+33419.56+40538.48+10691.53+16271.16+48695.02+20827.72+19415.56+20019.63+29506.27+17634.73+20249.29+9786.31+54863.19+19128.56+19540.77+15213.41+46126.26+86210.49+7085.76+10535.6+30489.05+13564.47+13708.25+43426.8+34665.64+54606.18+20103.12+28660.26+53269.33+43931.89+11681.91+7413.79+32881.95+10043.03+9897.95+15495.48+9286.46+9728.35+11665.21+9860.49</f>
        <v>1273621.05</v>
      </c>
      <c r="M13" s="106">
        <v>150797.63</v>
      </c>
      <c r="N13" s="106">
        <f>8563.26+2789.37</f>
        <v>11352.630000000001</v>
      </c>
      <c r="O13" s="106">
        <v>0</v>
      </c>
      <c r="P13" s="121">
        <v>211491.05</v>
      </c>
      <c r="Q13" s="126">
        <f t="shared" si="4"/>
        <v>554994.89</v>
      </c>
      <c r="R13" s="124">
        <f>2637+253132.92</f>
        <v>255769.92</v>
      </c>
      <c r="S13" s="106">
        <f>188547.77+104527.2</f>
        <v>293074.96999999997</v>
      </c>
      <c r="T13" s="106">
        <v>0</v>
      </c>
      <c r="U13" s="106">
        <v>6150</v>
      </c>
      <c r="V13" s="133">
        <v>0</v>
      </c>
    </row>
    <row r="14" spans="1:22" x14ac:dyDescent="0.25">
      <c r="A14" s="147"/>
      <c r="B14" s="137" t="s">
        <v>780</v>
      </c>
      <c r="C14" s="106">
        <f t="shared" ref="C14:C17" si="5">E14+K14+Q14</f>
        <v>3751682.0300000003</v>
      </c>
      <c r="D14" s="121">
        <f t="shared" si="0"/>
        <v>3751682.0300000003</v>
      </c>
      <c r="E14" s="127">
        <f t="shared" ref="E14" si="6">SUM(F14:J14)</f>
        <v>1177670.04</v>
      </c>
      <c r="F14" s="123">
        <v>195090.62</v>
      </c>
      <c r="G14" s="134">
        <v>284688.34999999998</v>
      </c>
      <c r="H14" s="106">
        <v>628.01</v>
      </c>
      <c r="I14" s="106">
        <v>38998</v>
      </c>
      <c r="J14" s="121">
        <v>658265.06000000006</v>
      </c>
      <c r="K14" s="126">
        <f t="shared" si="3"/>
        <v>2243213.12</v>
      </c>
      <c r="L14" s="124">
        <v>2120657.7200000002</v>
      </c>
      <c r="M14" s="106">
        <v>76005.52</v>
      </c>
      <c r="N14" s="106">
        <v>13035.01</v>
      </c>
      <c r="O14" s="106">
        <v>1500</v>
      </c>
      <c r="P14" s="121">
        <v>32014.87</v>
      </c>
      <c r="Q14" s="126">
        <f t="shared" si="4"/>
        <v>330798.87</v>
      </c>
      <c r="R14" s="124">
        <v>254046.1</v>
      </c>
      <c r="S14" s="106">
        <v>75159.89</v>
      </c>
      <c r="T14" s="106">
        <v>1592.88</v>
      </c>
      <c r="U14" s="106">
        <v>0</v>
      </c>
      <c r="V14" s="133">
        <v>0</v>
      </c>
    </row>
    <row r="15" spans="1:22" x14ac:dyDescent="0.25">
      <c r="A15" s="148"/>
      <c r="B15" s="137" t="s">
        <v>783</v>
      </c>
      <c r="C15" s="106">
        <f t="shared" si="5"/>
        <v>4309009.82</v>
      </c>
      <c r="D15" s="121">
        <f t="shared" si="0"/>
        <v>4309009.82</v>
      </c>
      <c r="E15" s="127">
        <f t="shared" ref="E15:E17" si="7">SUM(F15:J15)</f>
        <v>2419605.54</v>
      </c>
      <c r="F15" s="123">
        <v>203583.46</v>
      </c>
      <c r="G15" s="106">
        <v>495776.96</v>
      </c>
      <c r="H15" s="106">
        <v>9221.07</v>
      </c>
      <c r="I15" s="107">
        <v>22860</v>
      </c>
      <c r="J15" s="122">
        <v>1688164.05</v>
      </c>
      <c r="K15" s="126">
        <f t="shared" si="3"/>
        <v>1528305.9500000002</v>
      </c>
      <c r="L15" s="124">
        <v>1114639.73</v>
      </c>
      <c r="M15" s="106">
        <v>176554.34</v>
      </c>
      <c r="N15" s="107">
        <v>18613.04</v>
      </c>
      <c r="O15" s="107">
        <v>0</v>
      </c>
      <c r="P15" s="122">
        <v>218498.84</v>
      </c>
      <c r="Q15" s="126">
        <f t="shared" si="4"/>
        <v>361098.33000000007</v>
      </c>
      <c r="R15" s="124">
        <v>247278.2</v>
      </c>
      <c r="S15" s="106">
        <v>105834.6</v>
      </c>
      <c r="T15" s="107">
        <v>7985.53</v>
      </c>
      <c r="U15" s="107">
        <v>0</v>
      </c>
      <c r="V15" s="135">
        <v>0</v>
      </c>
    </row>
    <row r="16" spans="1:22" x14ac:dyDescent="0.25">
      <c r="A16" s="148"/>
      <c r="B16" s="137" t="s">
        <v>880</v>
      </c>
      <c r="C16" s="106">
        <f t="shared" si="5"/>
        <v>3136499.99</v>
      </c>
      <c r="D16" s="121">
        <f t="shared" si="0"/>
        <v>3136499.99</v>
      </c>
      <c r="E16" s="127">
        <f t="shared" si="7"/>
        <v>1599965.84</v>
      </c>
      <c r="F16" s="123">
        <v>202130.6</v>
      </c>
      <c r="G16" s="106">
        <v>185367.72</v>
      </c>
      <c r="H16" s="106">
        <v>1009.96</v>
      </c>
      <c r="I16" s="107">
        <v>13765</v>
      </c>
      <c r="J16" s="122">
        <v>1197692.56</v>
      </c>
      <c r="K16" s="126">
        <f t="shared" si="3"/>
        <v>1235394.99</v>
      </c>
      <c r="L16" s="124">
        <v>1114169.6499999999</v>
      </c>
      <c r="M16" s="106">
        <v>103995.29</v>
      </c>
      <c r="N16" s="107">
        <v>17230.05</v>
      </c>
      <c r="O16" s="107">
        <v>0</v>
      </c>
      <c r="P16" s="122">
        <v>0</v>
      </c>
      <c r="Q16" s="126">
        <f t="shared" si="4"/>
        <v>301139.16000000003</v>
      </c>
      <c r="R16" s="124">
        <v>243386.85</v>
      </c>
      <c r="S16" s="106">
        <v>42668.3</v>
      </c>
      <c r="T16" s="107">
        <v>14584.01</v>
      </c>
      <c r="U16" s="107">
        <v>500</v>
      </c>
      <c r="V16" s="135">
        <v>0</v>
      </c>
    </row>
    <row r="17" spans="1:22" x14ac:dyDescent="0.25">
      <c r="A17" s="148"/>
      <c r="B17" s="138" t="s">
        <v>789</v>
      </c>
      <c r="C17" s="107">
        <f t="shared" si="5"/>
        <v>5638547.1400000006</v>
      </c>
      <c r="D17" s="122">
        <f t="shared" si="0"/>
        <v>5638547.1400000006</v>
      </c>
      <c r="E17" s="127">
        <f t="shared" si="7"/>
        <v>2951471.72</v>
      </c>
      <c r="F17" s="125">
        <v>225133.64</v>
      </c>
      <c r="G17" s="107">
        <v>780087.77</v>
      </c>
      <c r="H17" s="106">
        <v>205788.47</v>
      </c>
      <c r="I17" s="108">
        <v>153895.26</v>
      </c>
      <c r="J17" s="122">
        <v>1586566.58</v>
      </c>
      <c r="K17" s="126">
        <f t="shared" ref="K17" si="8">SUM(L17:P17)</f>
        <v>1564472.93</v>
      </c>
      <c r="L17" s="130">
        <v>1107444.28</v>
      </c>
      <c r="M17" s="107">
        <v>215826.73</v>
      </c>
      <c r="N17" s="108">
        <v>3083.24</v>
      </c>
      <c r="O17" s="108"/>
      <c r="P17" s="128">
        <v>238118.68</v>
      </c>
      <c r="Q17" s="126">
        <f t="shared" si="4"/>
        <v>1122602.49</v>
      </c>
      <c r="R17" s="130">
        <v>266916.51</v>
      </c>
      <c r="S17" s="106">
        <v>546804.86</v>
      </c>
      <c r="T17" s="108">
        <v>31947.71</v>
      </c>
      <c r="U17" s="108"/>
      <c r="V17" s="136">
        <v>276933.40999999997</v>
      </c>
    </row>
    <row r="18" spans="1:22" x14ac:dyDescent="0.25">
      <c r="A18" s="149"/>
      <c r="B18" s="139" t="s">
        <v>757</v>
      </c>
      <c r="C18" s="109">
        <f>E18+K18+Q18</f>
        <v>45328252.609999999</v>
      </c>
      <c r="D18" s="109">
        <f>SUM(D6:D17)</f>
        <v>45328252.610000007</v>
      </c>
      <c r="E18" s="109">
        <f>SUM(E6:E17)</f>
        <v>21305303.049999997</v>
      </c>
      <c r="F18" s="109">
        <f>SUM(F6:F17)</f>
        <v>2346591.41</v>
      </c>
      <c r="G18" s="109">
        <f>SUM(G6:G17)</f>
        <v>5875527.3000000007</v>
      </c>
      <c r="H18" s="109">
        <f>SUM(H6:H17)</f>
        <v>853183.09999999986</v>
      </c>
      <c r="I18" s="109">
        <f t="shared" ref="I18:J18" si="9">SUM(I6:I17)</f>
        <v>924854.08000000007</v>
      </c>
      <c r="J18" s="109">
        <f t="shared" si="9"/>
        <v>11305147.16</v>
      </c>
      <c r="K18" s="109">
        <f>SUM(K6:K17)</f>
        <v>18109274.32</v>
      </c>
      <c r="L18" s="109">
        <f t="shared" ref="L18:V18" si="10">SUM(L6:L17)</f>
        <v>15045504.850000001</v>
      </c>
      <c r="M18" s="109">
        <f>SUM(M6:M17)</f>
        <v>1579660.24</v>
      </c>
      <c r="N18" s="109">
        <f t="shared" si="10"/>
        <v>154042.49</v>
      </c>
      <c r="O18" s="109">
        <f t="shared" si="10"/>
        <v>330000</v>
      </c>
      <c r="P18" s="129">
        <f t="shared" si="10"/>
        <v>1000066.74</v>
      </c>
      <c r="Q18" s="109">
        <f t="shared" si="10"/>
        <v>5913675.2400000002</v>
      </c>
      <c r="R18" s="131">
        <f t="shared" si="10"/>
        <v>3180763.5900000008</v>
      </c>
      <c r="S18" s="109">
        <f>SUM(S6:S17)</f>
        <v>1867744.9299999997</v>
      </c>
      <c r="T18" s="109">
        <f t="shared" si="10"/>
        <v>84616.72</v>
      </c>
      <c r="U18" s="109">
        <f t="shared" si="10"/>
        <v>270550</v>
      </c>
      <c r="V18" s="109">
        <f t="shared" si="10"/>
        <v>510000</v>
      </c>
    </row>
    <row r="19" spans="1:22" x14ac:dyDescent="0.25">
      <c r="A19" s="146">
        <v>2024</v>
      </c>
      <c r="B19" s="137" t="s">
        <v>881</v>
      </c>
      <c r="C19" s="106">
        <f>E19+K19+Q19</f>
        <v>1646605.12</v>
      </c>
      <c r="D19" s="121">
        <f t="shared" ref="D19:D30" si="11">+E19+K19+Q19</f>
        <v>1646605.12</v>
      </c>
      <c r="E19" s="126">
        <f>SUM(F19:J19)</f>
        <v>213006.44</v>
      </c>
      <c r="F19" s="123">
        <v>213006.44</v>
      </c>
      <c r="G19" s="106"/>
      <c r="H19" s="106"/>
      <c r="I19" s="106"/>
      <c r="J19" s="121"/>
      <c r="K19" s="126">
        <f>SUM(L19:P19)</f>
        <v>1167100.32</v>
      </c>
      <c r="L19" s="124">
        <v>1163127.23</v>
      </c>
      <c r="M19" s="106">
        <v>3973.09</v>
      </c>
      <c r="N19" s="106"/>
      <c r="O19" s="106"/>
      <c r="P19" s="121"/>
      <c r="Q19" s="126">
        <f>SUM(R19:V19)</f>
        <v>266498.36</v>
      </c>
      <c r="R19" s="124">
        <v>266498.36</v>
      </c>
      <c r="S19" s="106"/>
      <c r="T19" s="106"/>
      <c r="U19" s="106"/>
      <c r="V19" s="133"/>
    </row>
    <row r="20" spans="1:22" x14ac:dyDescent="0.25">
      <c r="A20" s="147"/>
      <c r="B20" s="137" t="s">
        <v>882</v>
      </c>
      <c r="C20" s="106">
        <f t="shared" ref="C20:C24" si="12">E20+K20+Q20</f>
        <v>5735139.8500000006</v>
      </c>
      <c r="D20" s="121">
        <f t="shared" si="11"/>
        <v>5735139.8500000006</v>
      </c>
      <c r="E20" s="127">
        <f t="shared" ref="E20:E24" si="13">SUM(F20:J20)</f>
        <v>3817204.37</v>
      </c>
      <c r="F20" s="124">
        <v>210936.36</v>
      </c>
      <c r="G20" s="106">
        <f>1389386.77-500</f>
        <v>1388886.77</v>
      </c>
      <c r="H20" s="106">
        <v>171630.84</v>
      </c>
      <c r="I20" s="106">
        <v>37660</v>
      </c>
      <c r="J20" s="121">
        <v>2008090.4</v>
      </c>
      <c r="K20" s="126">
        <f t="shared" ref="K20:K22" si="14">SUM(L20:P20)</f>
        <v>1407057.53</v>
      </c>
      <c r="L20" s="124">
        <v>1396140.39</v>
      </c>
      <c r="M20" s="106">
        <v>9919.02</v>
      </c>
      <c r="N20" s="106">
        <v>998.12</v>
      </c>
      <c r="O20" s="106"/>
      <c r="P20" s="121"/>
      <c r="Q20" s="126">
        <f t="shared" ref="Q20:Q30" si="15">SUM(R20:V20)</f>
        <v>510877.95</v>
      </c>
      <c r="R20" s="124">
        <v>272550.59000000003</v>
      </c>
      <c r="S20" s="106">
        <v>229160.69</v>
      </c>
      <c r="T20" s="106">
        <v>9166.67</v>
      </c>
      <c r="U20" s="106"/>
      <c r="V20" s="133"/>
    </row>
    <row r="21" spans="1:22" x14ac:dyDescent="0.25">
      <c r="A21" s="147"/>
      <c r="B21" s="137" t="s">
        <v>883</v>
      </c>
      <c r="C21" s="106">
        <f t="shared" si="12"/>
        <v>3523806.18</v>
      </c>
      <c r="D21" s="121">
        <f t="shared" si="11"/>
        <v>3523806.18</v>
      </c>
      <c r="E21" s="127">
        <f t="shared" si="13"/>
        <v>1260584.3099999998</v>
      </c>
      <c r="F21" s="123">
        <v>215651.49</v>
      </c>
      <c r="G21" s="106">
        <v>505462.47</v>
      </c>
      <c r="H21" s="106">
        <v>64379.09</v>
      </c>
      <c r="I21" s="106">
        <f>315750-1690</f>
        <v>314060</v>
      </c>
      <c r="J21" s="121">
        <v>161031.26</v>
      </c>
      <c r="K21" s="126">
        <f t="shared" si="14"/>
        <v>1715542.9300000002</v>
      </c>
      <c r="L21" s="124">
        <v>1247529.5900000001</v>
      </c>
      <c r="M21" s="106">
        <v>233608.07</v>
      </c>
      <c r="N21" s="106">
        <v>10071.75</v>
      </c>
      <c r="O21" s="106"/>
      <c r="P21" s="121">
        <v>224333.52</v>
      </c>
      <c r="Q21" s="126">
        <f t="shared" si="15"/>
        <v>547678.93999999994</v>
      </c>
      <c r="R21" s="124">
        <v>260591.71</v>
      </c>
      <c r="S21" s="106">
        <f>184834.75-500</f>
        <v>184334.75</v>
      </c>
      <c r="T21" s="106">
        <v>2922.48</v>
      </c>
      <c r="U21" s="106">
        <f>101430-1600</f>
        <v>99830</v>
      </c>
      <c r="V21" s="133"/>
    </row>
    <row r="22" spans="1:22" x14ac:dyDescent="0.25">
      <c r="A22" s="147"/>
      <c r="B22" s="137" t="s">
        <v>884</v>
      </c>
      <c r="C22" s="106">
        <f t="shared" si="12"/>
        <v>5509683.75</v>
      </c>
      <c r="D22" s="121">
        <f t="shared" si="11"/>
        <v>5509683.75</v>
      </c>
      <c r="E22" s="127">
        <f t="shared" si="13"/>
        <v>3368762.0999999996</v>
      </c>
      <c r="F22" s="123">
        <v>208413.74</v>
      </c>
      <c r="G22" s="106">
        <f>1035578.7-700</f>
        <v>1034878.7</v>
      </c>
      <c r="H22" s="106">
        <v>64918.48</v>
      </c>
      <c r="I22" s="106">
        <v>9590</v>
      </c>
      <c r="J22" s="145">
        <v>2050961.18</v>
      </c>
      <c r="K22" s="126">
        <f t="shared" si="14"/>
        <v>1588651.4400000002</v>
      </c>
      <c r="L22" s="124">
        <v>1375158.31</v>
      </c>
      <c r="M22" s="106">
        <v>85083.54</v>
      </c>
      <c r="N22" s="106">
        <v>8410.35</v>
      </c>
      <c r="O22" s="106"/>
      <c r="P22" s="121">
        <v>119999.24</v>
      </c>
      <c r="Q22" s="126">
        <f t="shared" si="15"/>
        <v>552270.21</v>
      </c>
      <c r="R22" s="124">
        <v>263397.94</v>
      </c>
      <c r="S22" s="106">
        <v>288872.27</v>
      </c>
      <c r="T22" s="106"/>
      <c r="U22" s="106"/>
      <c r="V22" s="133"/>
    </row>
    <row r="23" spans="1:22" x14ac:dyDescent="0.25">
      <c r="A23" s="147"/>
      <c r="B23" s="137" t="s">
        <v>885</v>
      </c>
      <c r="C23" s="106">
        <f t="shared" si="12"/>
        <v>3863953.22</v>
      </c>
      <c r="D23" s="121">
        <f t="shared" si="11"/>
        <v>3863953.22</v>
      </c>
      <c r="E23" s="127">
        <f t="shared" si="13"/>
        <v>1721848.1800000002</v>
      </c>
      <c r="F23" s="123">
        <v>208180.13</v>
      </c>
      <c r="G23" s="106">
        <f>685024.28+500</f>
        <v>685524.28</v>
      </c>
      <c r="H23" s="106">
        <v>319.60000000000002</v>
      </c>
      <c r="I23" s="106">
        <v>34440</v>
      </c>
      <c r="J23" s="121">
        <v>793384.17</v>
      </c>
      <c r="K23" s="126">
        <f>SUM(L23:P23)</f>
        <v>1809606.31</v>
      </c>
      <c r="L23" s="106">
        <f>1541687.72-531.23</f>
        <v>1541156.49</v>
      </c>
      <c r="M23" s="106">
        <v>110516.33</v>
      </c>
      <c r="N23" s="106">
        <v>10733.74</v>
      </c>
      <c r="O23" s="106"/>
      <c r="P23" s="121">
        <v>147199.75</v>
      </c>
      <c r="Q23" s="126">
        <f t="shared" si="15"/>
        <v>332498.73000000004</v>
      </c>
      <c r="R23" s="124">
        <v>280757.32</v>
      </c>
      <c r="S23" s="106">
        <f>47872.27-500</f>
        <v>47372.27</v>
      </c>
      <c r="T23" s="106">
        <v>4369.1400000000003</v>
      </c>
      <c r="U23" s="106"/>
      <c r="V23" s="133"/>
    </row>
    <row r="24" spans="1:22" x14ac:dyDescent="0.25">
      <c r="A24" s="147"/>
      <c r="B24" s="137" t="s">
        <v>886</v>
      </c>
      <c r="C24" s="106">
        <f t="shared" si="12"/>
        <v>4155783.92</v>
      </c>
      <c r="D24" s="121">
        <f t="shared" si="11"/>
        <v>4155783.92</v>
      </c>
      <c r="E24" s="127">
        <f t="shared" si="13"/>
        <v>1822853.9</v>
      </c>
      <c r="F24" s="123">
        <v>216719.59</v>
      </c>
      <c r="G24" s="106">
        <f>415842.89-1000</f>
        <v>414842.89</v>
      </c>
      <c r="H24" s="106">
        <v>74396.92</v>
      </c>
      <c r="I24" s="106">
        <v>193320</v>
      </c>
      <c r="J24" s="121">
        <v>923574.5</v>
      </c>
      <c r="K24" s="126">
        <f>SUM(L24:P24)</f>
        <v>1895731.85</v>
      </c>
      <c r="L24" s="106">
        <v>1266149.8600000001</v>
      </c>
      <c r="M24" s="106">
        <v>82384.59</v>
      </c>
      <c r="N24" s="106">
        <v>8700</v>
      </c>
      <c r="O24" s="106">
        <f>450000-1500</f>
        <v>448500</v>
      </c>
      <c r="P24" s="121">
        <v>89997.4</v>
      </c>
      <c r="Q24" s="126">
        <f t="shared" si="15"/>
        <v>437198.17000000004</v>
      </c>
      <c r="R24" s="124">
        <v>267320.98</v>
      </c>
      <c r="S24" s="106">
        <v>134992.17000000001</v>
      </c>
      <c r="T24" s="106">
        <v>4335.0200000000004</v>
      </c>
      <c r="U24" s="106">
        <v>30550</v>
      </c>
      <c r="V24" s="133"/>
    </row>
    <row r="25" spans="1:22" x14ac:dyDescent="0.25">
      <c r="A25" s="147"/>
      <c r="B25" s="137" t="s">
        <v>887</v>
      </c>
      <c r="C25" s="106">
        <f>E25+K25+Q25</f>
        <v>4450341.18</v>
      </c>
      <c r="D25" s="121">
        <f t="shared" si="11"/>
        <v>4450341.18</v>
      </c>
      <c r="E25" s="127">
        <f>SUM(F25:J25)</f>
        <v>2528573.92</v>
      </c>
      <c r="F25" s="123">
        <v>220543.74</v>
      </c>
      <c r="G25" s="106">
        <f>662644.63-7282.6+1300</f>
        <v>656662.03</v>
      </c>
      <c r="H25" s="106">
        <v>195160.53</v>
      </c>
      <c r="I25" s="106">
        <f>90377.8-1000</f>
        <v>89377.8</v>
      </c>
      <c r="J25" s="121">
        <v>1366829.82</v>
      </c>
      <c r="K25" s="126">
        <f>SUM(L25:P25)</f>
        <v>1487458.49</v>
      </c>
      <c r="L25" s="106">
        <v>1177455.56</v>
      </c>
      <c r="M25" s="106">
        <v>101824.42</v>
      </c>
      <c r="N25" s="106">
        <v>8031.75</v>
      </c>
      <c r="O25" s="106">
        <f>104114-900-500</f>
        <v>102714</v>
      </c>
      <c r="P25" s="121">
        <v>97432.76</v>
      </c>
      <c r="Q25" s="126">
        <f t="shared" si="15"/>
        <v>434308.77</v>
      </c>
      <c r="R25" s="124">
        <v>276534.19</v>
      </c>
      <c r="S25" s="106">
        <v>11400</v>
      </c>
      <c r="T25" s="106">
        <v>4491.13</v>
      </c>
      <c r="U25" s="106">
        <f>70350-1100</f>
        <v>69250</v>
      </c>
      <c r="V25" s="133">
        <v>72633.45</v>
      </c>
    </row>
    <row r="26" spans="1:22" x14ac:dyDescent="0.25">
      <c r="A26" s="147"/>
      <c r="B26" s="137" t="s">
        <v>888</v>
      </c>
      <c r="C26" s="106">
        <f>E26+K26+Q26</f>
        <v>4119446.9499999997</v>
      </c>
      <c r="D26" s="121">
        <f t="shared" si="11"/>
        <v>4119446.9499999997</v>
      </c>
      <c r="E26" s="127">
        <f>SUM(F26:J26)</f>
        <v>2251908.0199999996</v>
      </c>
      <c r="F26" s="123">
        <v>214224.24</v>
      </c>
      <c r="G26" s="106">
        <f>502230.98-1800-1000-45.22-1300</f>
        <v>498085.76</v>
      </c>
      <c r="H26" s="106">
        <v>181.08</v>
      </c>
      <c r="I26" s="106">
        <f>83272.56-1900</f>
        <v>81372.56</v>
      </c>
      <c r="J26" s="121">
        <f>1555257.13-50000-40000-7212.75</f>
        <v>1458044.38</v>
      </c>
      <c r="K26" s="126">
        <f t="shared" ref="K26:K30" si="16">SUM(L26:P26)</f>
        <v>1246923.58</v>
      </c>
      <c r="L26" s="124">
        <v>1165667.7</v>
      </c>
      <c r="M26" s="106">
        <v>70416.070000000007</v>
      </c>
      <c r="N26" s="106">
        <v>8339.81</v>
      </c>
      <c r="O26" s="106">
        <f>3400-900</f>
        <v>2500</v>
      </c>
      <c r="P26" s="121"/>
      <c r="Q26" s="126">
        <f t="shared" si="15"/>
        <v>620615.35</v>
      </c>
      <c r="R26" s="124">
        <v>255263.49</v>
      </c>
      <c r="S26" s="106">
        <v>130452.24</v>
      </c>
      <c r="T26" s="106">
        <f>21730.62-11000</f>
        <v>10730.619999999999</v>
      </c>
      <c r="U26" s="106">
        <v>170</v>
      </c>
      <c r="V26" s="133">
        <v>223999</v>
      </c>
    </row>
    <row r="27" spans="1:22" x14ac:dyDescent="0.25">
      <c r="A27" s="147"/>
      <c r="B27" s="137" t="s">
        <v>889</v>
      </c>
      <c r="C27" s="106">
        <f t="shared" ref="C27:C30" si="17">E27+K27+Q27</f>
        <v>2584035.79</v>
      </c>
      <c r="D27" s="121">
        <f t="shared" si="11"/>
        <v>2584035.79</v>
      </c>
      <c r="E27" s="127">
        <f t="shared" ref="E27:E30" si="18">SUM(F27:J27)</f>
        <v>991849.40999999992</v>
      </c>
      <c r="F27" s="123">
        <v>213796.39</v>
      </c>
      <c r="G27" s="134">
        <v>234531.61</v>
      </c>
      <c r="H27" s="106">
        <v>4960.05</v>
      </c>
      <c r="I27" s="106">
        <v>802</v>
      </c>
      <c r="J27" s="121">
        <v>537759.36</v>
      </c>
      <c r="K27" s="126">
        <f t="shared" si="16"/>
        <v>1307558.43</v>
      </c>
      <c r="L27" s="124">
        <v>1168463.24</v>
      </c>
      <c r="M27" s="106">
        <v>88693.2</v>
      </c>
      <c r="N27" s="106"/>
      <c r="O27" s="106">
        <v>460</v>
      </c>
      <c r="P27" s="121">
        <v>49941.99</v>
      </c>
      <c r="Q27" s="126">
        <f t="shared" si="15"/>
        <v>284627.94999999995</v>
      </c>
      <c r="R27" s="124">
        <v>251709.96</v>
      </c>
      <c r="S27" s="106">
        <v>2917.99</v>
      </c>
      <c r="T27" s="106"/>
      <c r="U27" s="106"/>
      <c r="V27" s="133">
        <v>30000</v>
      </c>
    </row>
    <row r="28" spans="1:22" x14ac:dyDescent="0.25">
      <c r="A28" s="148"/>
      <c r="B28" s="137" t="s">
        <v>890</v>
      </c>
      <c r="C28" s="106">
        <f t="shared" si="17"/>
        <v>2004884.94</v>
      </c>
      <c r="D28" s="121">
        <f t="shared" si="11"/>
        <v>2004884.94</v>
      </c>
      <c r="E28" s="127">
        <f t="shared" si="18"/>
        <v>446147.55</v>
      </c>
      <c r="F28" s="123">
        <v>214000.65</v>
      </c>
      <c r="G28" s="106">
        <v>14000</v>
      </c>
      <c r="H28" s="106">
        <v>-1853.1</v>
      </c>
      <c r="I28" s="107"/>
      <c r="J28" s="122">
        <v>220000</v>
      </c>
      <c r="K28" s="126">
        <f t="shared" si="16"/>
        <v>1294477.79</v>
      </c>
      <c r="L28" s="124">
        <f>1177523.48-10231.99</f>
        <v>1167291.49</v>
      </c>
      <c r="M28" s="106">
        <v>107000</v>
      </c>
      <c r="N28" s="107"/>
      <c r="O28" s="107"/>
      <c r="P28" s="122">
        <v>20186.3</v>
      </c>
      <c r="Q28" s="126">
        <f t="shared" si="15"/>
        <v>264259.59999999998</v>
      </c>
      <c r="R28" s="124">
        <v>258606.61</v>
      </c>
      <c r="S28" s="106"/>
      <c r="T28" s="107">
        <v>5652.99</v>
      </c>
      <c r="U28" s="107"/>
      <c r="V28" s="135"/>
    </row>
    <row r="29" spans="1:22" x14ac:dyDescent="0.25">
      <c r="A29" s="148"/>
      <c r="B29" s="137" t="s">
        <v>891</v>
      </c>
      <c r="C29" s="106">
        <f t="shared" si="17"/>
        <v>0</v>
      </c>
      <c r="D29" s="121">
        <f t="shared" si="11"/>
        <v>0</v>
      </c>
      <c r="E29" s="127">
        <f t="shared" si="18"/>
        <v>0</v>
      </c>
      <c r="F29" s="123"/>
      <c r="G29" s="106"/>
      <c r="H29" s="106"/>
      <c r="I29" s="107"/>
      <c r="J29" s="122"/>
      <c r="K29" s="126">
        <f t="shared" si="16"/>
        <v>0</v>
      </c>
      <c r="L29" s="124"/>
      <c r="M29" s="106"/>
      <c r="N29" s="107"/>
      <c r="O29" s="107"/>
      <c r="P29" s="122"/>
      <c r="Q29" s="126">
        <f t="shared" si="15"/>
        <v>0</v>
      </c>
      <c r="R29" s="124"/>
      <c r="S29" s="106"/>
      <c r="T29" s="107"/>
      <c r="U29" s="107"/>
      <c r="V29" s="135"/>
    </row>
    <row r="30" spans="1:22" x14ac:dyDescent="0.25">
      <c r="A30" s="148"/>
      <c r="B30" s="138" t="s">
        <v>892</v>
      </c>
      <c r="C30" s="107">
        <f t="shared" si="17"/>
        <v>0</v>
      </c>
      <c r="D30" s="122">
        <f t="shared" si="11"/>
        <v>0</v>
      </c>
      <c r="E30" s="127">
        <f t="shared" si="18"/>
        <v>0</v>
      </c>
      <c r="F30" s="125"/>
      <c r="G30" s="107"/>
      <c r="H30" s="106"/>
      <c r="I30" s="108"/>
      <c r="J30" s="122"/>
      <c r="K30" s="126">
        <f t="shared" si="16"/>
        <v>0</v>
      </c>
      <c r="L30" s="130"/>
      <c r="M30" s="107"/>
      <c r="N30" s="108"/>
      <c r="O30" s="108"/>
      <c r="P30" s="128"/>
      <c r="Q30" s="126">
        <f t="shared" si="15"/>
        <v>0</v>
      </c>
      <c r="R30" s="130"/>
      <c r="S30" s="106"/>
      <c r="T30" s="108"/>
      <c r="U30" s="108"/>
      <c r="V30" s="136"/>
    </row>
    <row r="31" spans="1:22" x14ac:dyDescent="0.25">
      <c r="A31" s="149"/>
      <c r="B31" s="139" t="s">
        <v>893</v>
      </c>
      <c r="C31" s="109">
        <f>E31+K31+Q31</f>
        <v>37593680.899999999</v>
      </c>
      <c r="D31" s="109">
        <f>SUM(D19:D30)</f>
        <v>37593680.899999999</v>
      </c>
      <c r="E31" s="109">
        <f>SUM(E19:E30)</f>
        <v>18422738.199999999</v>
      </c>
      <c r="F31" s="109">
        <f>SUM(F19:F30)</f>
        <v>2135472.77</v>
      </c>
      <c r="G31" s="109">
        <f>SUM(G19:G30)</f>
        <v>5432874.5099999998</v>
      </c>
      <c r="H31" s="109">
        <f>SUM(H19:H30)</f>
        <v>574093.49</v>
      </c>
      <c r="I31" s="109">
        <f t="shared" ref="I31:J31" si="19">SUM(I19:I30)</f>
        <v>760622.3600000001</v>
      </c>
      <c r="J31" s="109">
        <f t="shared" si="19"/>
        <v>9519675.0700000003</v>
      </c>
      <c r="K31" s="109">
        <f>SUM(K19:K30)</f>
        <v>14920108.670000002</v>
      </c>
      <c r="L31" s="109">
        <f t="shared" ref="L31" si="20">SUM(L19:L30)</f>
        <v>12668139.859999999</v>
      </c>
      <c r="M31" s="109">
        <f>SUM(M19:M30)</f>
        <v>893418.33000000007</v>
      </c>
      <c r="N31" s="109">
        <f t="shared" ref="N31:R31" si="21">SUM(N19:N30)</f>
        <v>55285.52</v>
      </c>
      <c r="O31" s="109">
        <f t="shared" si="21"/>
        <v>554174</v>
      </c>
      <c r="P31" s="129">
        <f t="shared" si="21"/>
        <v>749090.96000000008</v>
      </c>
      <c r="Q31" s="109">
        <f t="shared" si="21"/>
        <v>4250834.0299999993</v>
      </c>
      <c r="R31" s="131">
        <f t="shared" si="21"/>
        <v>2653231.15</v>
      </c>
      <c r="S31" s="109">
        <f>SUM(S19:S30)</f>
        <v>1029502.38</v>
      </c>
      <c r="T31" s="109">
        <f t="shared" ref="T31:V31" si="22">SUM(T19:T30)</f>
        <v>41668.049999999996</v>
      </c>
      <c r="U31" s="109">
        <f t="shared" si="22"/>
        <v>199800</v>
      </c>
      <c r="V31" s="109">
        <f t="shared" si="22"/>
        <v>326632.45</v>
      </c>
    </row>
    <row r="33" spans="3:16" x14ac:dyDescent="0.25">
      <c r="P33" s="144"/>
    </row>
    <row r="35" spans="3:16" x14ac:dyDescent="0.25">
      <c r="F35" s="143"/>
      <c r="G35" s="143"/>
      <c r="H35" s="143"/>
      <c r="I35" s="143"/>
      <c r="J35" s="143"/>
    </row>
    <row r="36" spans="3:16" x14ac:dyDescent="0.25">
      <c r="F36" s="143"/>
      <c r="G36" s="143"/>
      <c r="H36" s="143"/>
      <c r="I36" s="143"/>
      <c r="J36" s="143"/>
      <c r="L36" s="143"/>
    </row>
    <row r="37" spans="3:16" x14ac:dyDescent="0.25">
      <c r="C37" s="143"/>
      <c r="F37" s="143"/>
      <c r="G37" s="143"/>
      <c r="H37" s="143"/>
      <c r="I37" s="143"/>
      <c r="J37" s="143"/>
    </row>
    <row r="38" spans="3:16" x14ac:dyDescent="0.25">
      <c r="F38" s="143"/>
      <c r="G38" s="143"/>
      <c r="H38" s="143"/>
      <c r="J38" s="143"/>
    </row>
    <row r="39" spans="3:16" x14ac:dyDescent="0.25">
      <c r="C39" s="143"/>
      <c r="F39" s="143"/>
      <c r="G39" s="143"/>
      <c r="H39" s="143"/>
      <c r="I39" s="143"/>
      <c r="J39" s="143"/>
    </row>
    <row r="41" spans="3:16" x14ac:dyDescent="0.25">
      <c r="F41" s="143"/>
      <c r="G41" s="143"/>
    </row>
    <row r="42" spans="3:16" x14ac:dyDescent="0.25">
      <c r="J42" s="143"/>
    </row>
  </sheetData>
  <mergeCells count="6">
    <mergeCell ref="A19:A31"/>
    <mergeCell ref="A6:A18"/>
    <mergeCell ref="U4:U5"/>
    <mergeCell ref="D1:D2"/>
    <mergeCell ref="B3:B5"/>
    <mergeCell ref="A3:A5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141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27" sqref="L27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8.140625" style="2" customWidth="1"/>
    <col min="5" max="5" width="12.42578125" style="2" customWidth="1"/>
    <col min="6" max="6" width="14.85546875" style="2" customWidth="1"/>
    <col min="7" max="7" width="15.28515625" style="1" customWidth="1"/>
    <col min="8" max="8" width="14" style="1" customWidth="1"/>
    <col min="9" max="9" width="15.42578125" style="1" customWidth="1"/>
    <col min="10" max="10" width="15.2851562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2.42578125" style="1" bestFit="1" customWidth="1"/>
    <col min="15" max="16384" width="9.140625" style="1"/>
  </cols>
  <sheetData>
    <row r="1" spans="1:14" s="3" customFormat="1" ht="26.25" customHeight="1" x14ac:dyDescent="0.25">
      <c r="A1" s="12" t="str">
        <f>IF([2]L!$A$1=1,[2]L!G6,IF([2]L!$A$1=2,[2]L!G16,[2]L!G26))</f>
        <v>Tabela 2: Pranimet</v>
      </c>
      <c r="B1" s="12"/>
      <c r="D1" s="4"/>
      <c r="E1" s="4"/>
      <c r="F1" s="4"/>
    </row>
    <row r="2" spans="1:14" s="3" customFormat="1" ht="17.25" customHeight="1" x14ac:dyDescent="0.25">
      <c r="A2" s="85" t="s">
        <v>876</v>
      </c>
      <c r="B2" s="86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4" s="2" customFormat="1" ht="82.5" customHeight="1" x14ac:dyDescent="0.25">
      <c r="A3" s="87" t="str">
        <f>IF([2]L!$A$1=1,[2]L!G8,IF([2]L!$A$1=2,[2]L!G18,[2]L!G28))</f>
        <v>Viti</v>
      </c>
      <c r="B3" s="87" t="str">
        <f>IF([2]L!$A$1=1,[2]L!H8,IF([2]L!$A$1=2,[2]L!H18,[2]L!H28))</f>
        <v>Viti / Muaji</v>
      </c>
      <c r="C3" s="88" t="str">
        <f>IF([2]L!$A$1=1,[2]L!I8,IF([2]L!$A$1=2,[2]L!I18,[2]L!I28))</f>
        <v>Gjithsej Pranimet</v>
      </c>
      <c r="D3" s="67" t="str">
        <f>IF([2]L!$A$1=1,[2]L!O8,IF([2]L!$A$1=2,[2]L!O18,[2]L!O28))</f>
        <v xml:space="preserve">Tatimi në pronë </v>
      </c>
      <c r="E3" s="89" t="s">
        <v>870</v>
      </c>
      <c r="F3" s="90" t="s">
        <v>873</v>
      </c>
      <c r="G3" s="67" t="s">
        <v>871</v>
      </c>
      <c r="H3" s="67" t="s">
        <v>878</v>
      </c>
      <c r="I3" s="67" t="s">
        <v>872</v>
      </c>
      <c r="J3" s="67" t="s">
        <v>874</v>
      </c>
      <c r="K3" s="67" t="s">
        <v>875</v>
      </c>
      <c r="L3" s="67" t="s">
        <v>877</v>
      </c>
    </row>
    <row r="4" spans="1:14" s="3" customFormat="1" x14ac:dyDescent="0.25">
      <c r="A4" s="157">
        <v>2023</v>
      </c>
      <c r="B4" s="5" t="s">
        <v>758</v>
      </c>
      <c r="C4" s="98">
        <f t="shared" ref="C4:C8" si="0">D4+E4+F4+G4+H4+I4+J4+K4+L4</f>
        <v>660574.07999999996</v>
      </c>
      <c r="D4" s="110">
        <v>230161.74</v>
      </c>
      <c r="E4" s="111">
        <v>235902.94</v>
      </c>
      <c r="F4" s="113"/>
      <c r="G4" s="112">
        <f>10140+1191+193+77+1646</f>
        <v>13247</v>
      </c>
      <c r="H4" s="112">
        <v>79700</v>
      </c>
      <c r="I4" s="102">
        <v>22431</v>
      </c>
      <c r="J4" s="117">
        <v>10263</v>
      </c>
      <c r="K4" s="93">
        <f>9530+10092.5+6</f>
        <v>19628.5</v>
      </c>
      <c r="L4" s="96">
        <f>510+100+400+400+4422.4+371+490.15+27676+82+8667.35+4292+150+732+947</f>
        <v>49239.9</v>
      </c>
      <c r="M4" s="105"/>
    </row>
    <row r="5" spans="1:14" s="3" customFormat="1" x14ac:dyDescent="0.25">
      <c r="A5" s="157"/>
      <c r="B5" s="5" t="s">
        <v>761</v>
      </c>
      <c r="C5" s="98">
        <f>D5+E5+G5+H5+I5+J5+K5+L5</f>
        <v>670242.74</v>
      </c>
      <c r="D5" s="100">
        <v>167710.81</v>
      </c>
      <c r="E5" s="101">
        <v>290365.65999999997</v>
      </c>
      <c r="F5" s="113"/>
      <c r="G5" s="102">
        <f>8150+760+176+37+851</f>
        <v>9974</v>
      </c>
      <c r="H5" s="102">
        <v>85335</v>
      </c>
      <c r="I5" s="102">
        <v>21510</v>
      </c>
      <c r="J5" s="103">
        <v>11106.02</v>
      </c>
      <c r="K5" s="93">
        <f>9899+10300.5+5</f>
        <v>20204.5</v>
      </c>
      <c r="L5" s="96">
        <f>710+650+600+500+4023.3+578+2088.84+26044+54+10307.71+15706+100+837+840.9+997</f>
        <v>64036.75</v>
      </c>
    </row>
    <row r="6" spans="1:14" s="3" customFormat="1" x14ac:dyDescent="0.25">
      <c r="A6" s="157"/>
      <c r="B6" s="5" t="s">
        <v>879</v>
      </c>
      <c r="C6" s="98">
        <f t="shared" si="0"/>
        <v>791358.1100000001</v>
      </c>
      <c r="D6" s="100">
        <v>245373.4</v>
      </c>
      <c r="E6" s="101">
        <v>297431.64</v>
      </c>
      <c r="F6" s="113"/>
      <c r="G6" s="102">
        <v>11871</v>
      </c>
      <c r="H6" s="102">
        <v>101716</v>
      </c>
      <c r="I6" s="102">
        <v>27295</v>
      </c>
      <c r="J6" s="103">
        <v>13047</v>
      </c>
      <c r="K6" s="104">
        <v>19930.400000000001</v>
      </c>
      <c r="L6" s="96">
        <v>74693.67</v>
      </c>
    </row>
    <row r="7" spans="1:14" s="3" customFormat="1" x14ac:dyDescent="0.25">
      <c r="A7" s="157"/>
      <c r="B7" s="5" t="s">
        <v>767</v>
      </c>
      <c r="C7" s="98">
        <f t="shared" si="0"/>
        <v>772486.09</v>
      </c>
      <c r="D7" s="100">
        <v>479890.78</v>
      </c>
      <c r="E7" s="101">
        <v>109464.51</v>
      </c>
      <c r="F7" s="113"/>
      <c r="G7" s="102">
        <v>8645</v>
      </c>
      <c r="H7" s="102">
        <v>80050</v>
      </c>
      <c r="I7" s="102">
        <v>20050</v>
      </c>
      <c r="J7" s="103">
        <v>9032</v>
      </c>
      <c r="K7" s="104">
        <v>20060.099999999999</v>
      </c>
      <c r="L7" s="96">
        <v>45293.7</v>
      </c>
    </row>
    <row r="8" spans="1:14" s="3" customFormat="1" x14ac:dyDescent="0.25">
      <c r="A8" s="157"/>
      <c r="B8" s="5" t="s">
        <v>769</v>
      </c>
      <c r="C8" s="98">
        <f t="shared" si="0"/>
        <v>1070596.1700000002</v>
      </c>
      <c r="D8" s="100">
        <v>717968.66</v>
      </c>
      <c r="E8" s="101">
        <v>120699.91</v>
      </c>
      <c r="F8" s="113"/>
      <c r="G8" s="102">
        <f>10886+841+211+44+274</f>
        <v>12256</v>
      </c>
      <c r="H8" s="118">
        <f>97141+7770</f>
        <v>104911</v>
      </c>
      <c r="I8" s="102">
        <v>28505</v>
      </c>
      <c r="J8" s="103">
        <v>10605</v>
      </c>
      <c r="K8" s="93">
        <v>21077</v>
      </c>
      <c r="L8" s="96">
        <v>54573.600000000006</v>
      </c>
    </row>
    <row r="9" spans="1:14" s="3" customFormat="1" x14ac:dyDescent="0.25">
      <c r="A9" s="157"/>
      <c r="B9" s="5" t="s">
        <v>771</v>
      </c>
      <c r="C9" s="98">
        <f t="shared" ref="C9:C14" si="1">D9+E9+F9+G9+H9+I9+J9+K9+L9</f>
        <v>747774.87999999989</v>
      </c>
      <c r="D9" s="100">
        <v>162872.57999999999</v>
      </c>
      <c r="E9" s="101">
        <v>370545.35</v>
      </c>
      <c r="F9" s="141"/>
      <c r="G9" s="102">
        <v>8851</v>
      </c>
      <c r="H9" s="102">
        <v>89630</v>
      </c>
      <c r="I9" s="102">
        <v>31620</v>
      </c>
      <c r="J9" s="103">
        <v>7502.5</v>
      </c>
      <c r="K9" s="93">
        <v>17702.5</v>
      </c>
      <c r="L9" s="96">
        <v>59050.950000000004</v>
      </c>
      <c r="N9" s="142"/>
    </row>
    <row r="10" spans="1:14" s="3" customFormat="1" x14ac:dyDescent="0.25">
      <c r="A10" s="157"/>
      <c r="B10" s="5" t="s">
        <v>774</v>
      </c>
      <c r="C10" s="98">
        <f t="shared" si="1"/>
        <v>749633.63000000012</v>
      </c>
      <c r="D10" s="100">
        <v>254967.1</v>
      </c>
      <c r="E10" s="101">
        <v>251838.73</v>
      </c>
      <c r="F10" s="113"/>
      <c r="G10" s="102">
        <v>12246</v>
      </c>
      <c r="H10" s="102">
        <f>93016+10700</f>
        <v>103716</v>
      </c>
      <c r="I10" s="102">
        <v>35271</v>
      </c>
      <c r="J10" s="103">
        <v>9019</v>
      </c>
      <c r="K10" s="93">
        <v>8975.5</v>
      </c>
      <c r="L10" s="96">
        <v>73600.3</v>
      </c>
    </row>
    <row r="11" spans="1:14" s="3" customFormat="1" x14ac:dyDescent="0.25">
      <c r="A11" s="157"/>
      <c r="B11" s="5" t="s">
        <v>777</v>
      </c>
      <c r="C11" s="98">
        <f t="shared" si="1"/>
        <v>927361.90999999992</v>
      </c>
      <c r="D11" s="100">
        <v>402524.81</v>
      </c>
      <c r="E11" s="101">
        <v>219837.88</v>
      </c>
      <c r="F11" s="113"/>
      <c r="G11" s="102">
        <v>13538</v>
      </c>
      <c r="H11" s="102">
        <f>123159+13870</f>
        <v>137029</v>
      </c>
      <c r="I11" s="102">
        <v>33810</v>
      </c>
      <c r="J11" s="103">
        <v>11877.5</v>
      </c>
      <c r="K11" s="93">
        <v>1630</v>
      </c>
      <c r="L11" s="96">
        <v>107114.72</v>
      </c>
    </row>
    <row r="12" spans="1:14" s="3" customFormat="1" x14ac:dyDescent="0.25">
      <c r="A12" s="157"/>
      <c r="B12" s="5" t="s">
        <v>780</v>
      </c>
      <c r="C12" s="98">
        <f t="shared" si="1"/>
        <v>677585.78999999992</v>
      </c>
      <c r="D12" s="100">
        <v>265306.15999999997</v>
      </c>
      <c r="E12" s="101">
        <v>195022.54</v>
      </c>
      <c r="F12" s="113"/>
      <c r="G12" s="102">
        <f>8016+770+155+31+146</f>
        <v>9118</v>
      </c>
      <c r="H12" s="102">
        <f>74199+9605</f>
        <v>83804</v>
      </c>
      <c r="I12" s="102">
        <v>29195</v>
      </c>
      <c r="J12" s="103">
        <v>9439.5</v>
      </c>
      <c r="K12" s="104">
        <f>10285+8978+10</f>
        <v>19273</v>
      </c>
      <c r="L12" s="96">
        <f>350+684+4100+350+20769.3+1207+3108.25+25647+262+8191.24+437+625+447.8+249</f>
        <v>66427.590000000011</v>
      </c>
    </row>
    <row r="13" spans="1:14" s="3" customFormat="1" x14ac:dyDescent="0.25">
      <c r="A13" s="157"/>
      <c r="B13" s="5" t="s">
        <v>783</v>
      </c>
      <c r="C13" s="98">
        <f t="shared" si="1"/>
        <v>736363.39</v>
      </c>
      <c r="D13" s="100">
        <v>294267.09000000003</v>
      </c>
      <c r="E13" s="101">
        <v>180513.22</v>
      </c>
      <c r="F13" s="113"/>
      <c r="G13" s="119">
        <f>6540+754+166+36+170</f>
        <v>7666</v>
      </c>
      <c r="H13" s="102">
        <f>11625+83450</f>
        <v>95075</v>
      </c>
      <c r="I13" s="102">
        <v>31275</v>
      </c>
      <c r="J13" s="103">
        <v>10422</v>
      </c>
      <c r="K13" s="93">
        <f>14159+9776.5+26</f>
        <v>23961.5</v>
      </c>
      <c r="L13" s="113">
        <f>190+1800+345+16321.65+840+1859.96+32530+90+2672.93+33859+700+1975.04</f>
        <v>93183.58</v>
      </c>
    </row>
    <row r="14" spans="1:14" s="3" customFormat="1" x14ac:dyDescent="0.25">
      <c r="A14" s="157"/>
      <c r="B14" s="5" t="s">
        <v>880</v>
      </c>
      <c r="C14" s="98">
        <f t="shared" si="1"/>
        <v>539573.48</v>
      </c>
      <c r="D14" s="120">
        <v>100074.23</v>
      </c>
      <c r="E14" s="99">
        <v>237240.87</v>
      </c>
      <c r="F14" s="120"/>
      <c r="G14" s="120">
        <f>5260+735+60+35+92</f>
        <v>6182</v>
      </c>
      <c r="H14" s="97">
        <f>10345+54965</f>
        <v>65310</v>
      </c>
      <c r="I14" s="97">
        <v>28970</v>
      </c>
      <c r="J14" s="97">
        <v>9166.5</v>
      </c>
      <c r="K14" s="97">
        <f>11125.6+9724.9+10</f>
        <v>20860.5</v>
      </c>
      <c r="L14" s="120">
        <f>200+3123.1+215+25140.04+276+2739.82+27573+233+442.67+10379+1098.75+349</f>
        <v>71769.38</v>
      </c>
    </row>
    <row r="15" spans="1:14" s="3" customFormat="1" x14ac:dyDescent="0.25">
      <c r="A15" s="157"/>
      <c r="B15" s="5" t="s">
        <v>789</v>
      </c>
      <c r="C15" s="98">
        <f t="shared" ref="C15" si="2">SUM(D15:L15)</f>
        <v>627479.32999999996</v>
      </c>
      <c r="D15" s="120">
        <v>297444.47999999998</v>
      </c>
      <c r="E15" s="120">
        <v>102316.6</v>
      </c>
      <c r="F15" s="120"/>
      <c r="G15" s="120">
        <f>8115+1008+49+10+115</f>
        <v>9297</v>
      </c>
      <c r="H15" s="97">
        <f>10495+65455</f>
        <v>75950</v>
      </c>
      <c r="I15" s="97">
        <v>28726</v>
      </c>
      <c r="J15" s="97">
        <v>11410.5</v>
      </c>
      <c r="K15" s="97">
        <f>13126.9+9781.5+4</f>
        <v>22912.400000000001</v>
      </c>
      <c r="L15" s="120">
        <f>220+700+210+3959.05+718+7766.13+32265+142+17326.17+14287+700+850+279</f>
        <v>79422.350000000006</v>
      </c>
    </row>
    <row r="16" spans="1:14" s="3" customFormat="1" x14ac:dyDescent="0.25">
      <c r="A16" s="157"/>
      <c r="B16" s="6" t="s">
        <v>757</v>
      </c>
      <c r="C16" s="95">
        <f>SUM(C4:C15)</f>
        <v>8971029.5999999996</v>
      </c>
      <c r="D16" s="95">
        <f t="shared" ref="D16:L16" si="3">SUM(D4:D15)</f>
        <v>3618561.8400000003</v>
      </c>
      <c r="E16" s="95">
        <f t="shared" si="3"/>
        <v>2611179.85</v>
      </c>
      <c r="F16" s="92">
        <f t="shared" si="3"/>
        <v>0</v>
      </c>
      <c r="G16" s="95">
        <f t="shared" si="3"/>
        <v>122891</v>
      </c>
      <c r="H16" s="95">
        <f t="shared" si="3"/>
        <v>1102226</v>
      </c>
      <c r="I16" s="95">
        <f t="shared" si="3"/>
        <v>338658</v>
      </c>
      <c r="J16" s="95">
        <f t="shared" si="3"/>
        <v>122890.52</v>
      </c>
      <c r="K16" s="95">
        <f t="shared" si="3"/>
        <v>216215.9</v>
      </c>
      <c r="L16" s="94">
        <f t="shared" si="3"/>
        <v>838406.48999999987</v>
      </c>
    </row>
    <row r="17" spans="1:12" s="3" customFormat="1" x14ac:dyDescent="0.25">
      <c r="A17" s="157">
        <v>2024</v>
      </c>
      <c r="B17" s="5" t="s">
        <v>881</v>
      </c>
      <c r="C17" s="98">
        <f t="shared" ref="C17" si="4">D17+E17+F17+G17+H17+I17+J17+K17+L17</f>
        <v>607961.59</v>
      </c>
      <c r="D17" s="110">
        <v>201399.53</v>
      </c>
      <c r="E17" s="111">
        <v>193426.4</v>
      </c>
      <c r="F17" s="113"/>
      <c r="G17" s="112">
        <f>8036+1271+84+10+81</f>
        <v>9482</v>
      </c>
      <c r="H17" s="112">
        <f>67135+10795</f>
        <v>77930</v>
      </c>
      <c r="I17" s="102">
        <v>25690</v>
      </c>
      <c r="J17" s="117">
        <v>11881.5</v>
      </c>
      <c r="K17" s="93">
        <f>10443.6+7990.5+8</f>
        <v>18442.099999999999</v>
      </c>
      <c r="L17" s="96">
        <f>450+800+85+25553.95+639+1839.89+34170+114+1515.27+630+398.75+2017.2+1497</f>
        <v>69710.059999999983</v>
      </c>
    </row>
    <row r="18" spans="1:12" s="3" customFormat="1" x14ac:dyDescent="0.25">
      <c r="A18" s="157"/>
      <c r="B18" s="5" t="s">
        <v>882</v>
      </c>
      <c r="C18" s="98">
        <f>D18+E18+G18+H18+I18+J18+K18+L18</f>
        <v>449623.7</v>
      </c>
      <c r="D18" s="100">
        <v>130632.02</v>
      </c>
      <c r="E18" s="101">
        <v>142124.79999999999</v>
      </c>
      <c r="F18" s="113"/>
      <c r="G18" s="102">
        <f>5832+1025+62+65</f>
        <v>6984</v>
      </c>
      <c r="H18" s="102">
        <f>58340+16205</f>
        <v>74545</v>
      </c>
      <c r="I18" s="102">
        <v>24965</v>
      </c>
      <c r="J18" s="103">
        <v>13493.5</v>
      </c>
      <c r="K18" s="93">
        <f>19862.5+1150+26</f>
        <v>21038.5</v>
      </c>
      <c r="L18" s="96">
        <f>150+650+205+10358.29+589+600.95+19774+152+1555.09+1250+8.55+548</f>
        <v>35840.880000000005</v>
      </c>
    </row>
    <row r="19" spans="1:12" s="3" customFormat="1" x14ac:dyDescent="0.25">
      <c r="A19" s="157"/>
      <c r="B19" s="5" t="s">
        <v>883</v>
      </c>
      <c r="C19" s="98">
        <f t="shared" ref="C19:C27" si="5">D19+E19+F19+G19+H19+I19+J19+K19+L19</f>
        <v>490686.26</v>
      </c>
      <c r="D19" s="100">
        <v>153340.85999999999</v>
      </c>
      <c r="E19" s="101">
        <v>124439.78</v>
      </c>
      <c r="F19" s="113"/>
      <c r="G19" s="102">
        <f>4951+650+93+11+88</f>
        <v>5793</v>
      </c>
      <c r="H19" s="102">
        <f>55666+9685</f>
        <v>65351</v>
      </c>
      <c r="I19" s="102">
        <v>28090</v>
      </c>
      <c r="J19" s="103">
        <v>10428</v>
      </c>
      <c r="K19" s="104">
        <f>19209.9+295+17</f>
        <v>19521.900000000001</v>
      </c>
      <c r="L19" s="96">
        <f>201+3500+375+22632.97+560+729.7+30938+179+779.45+18144+4150+1532.6</f>
        <v>83721.72</v>
      </c>
    </row>
    <row r="20" spans="1:12" s="3" customFormat="1" x14ac:dyDescent="0.25">
      <c r="A20" s="157"/>
      <c r="B20" s="5" t="s">
        <v>884</v>
      </c>
      <c r="C20" s="98">
        <f t="shared" si="5"/>
        <v>783924.6399999999</v>
      </c>
      <c r="D20" s="100">
        <v>315713.5</v>
      </c>
      <c r="E20" s="101">
        <v>214564.97</v>
      </c>
      <c r="F20" s="113"/>
      <c r="G20" s="102">
        <f>6745+858+109+89</f>
        <v>7801</v>
      </c>
      <c r="H20" s="102">
        <f>126960+9300</f>
        <v>136260</v>
      </c>
      <c r="I20" s="102">
        <v>29335</v>
      </c>
      <c r="J20" s="103">
        <v>10817.5</v>
      </c>
      <c r="K20" s="104">
        <f>15875.6+236+16</f>
        <v>16127.6</v>
      </c>
      <c r="L20" s="96">
        <f>270+180+3994.65+711+617.46+28548+287+5043.96+12055+1000+250+348</f>
        <v>53305.07</v>
      </c>
    </row>
    <row r="21" spans="1:12" s="3" customFormat="1" x14ac:dyDescent="0.25">
      <c r="A21" s="157"/>
      <c r="B21" s="5" t="s">
        <v>885</v>
      </c>
      <c r="C21" s="98">
        <f t="shared" si="5"/>
        <v>586701.96</v>
      </c>
      <c r="D21" s="100">
        <v>183468.15</v>
      </c>
      <c r="E21" s="101">
        <v>136361.15</v>
      </c>
      <c r="F21" s="113"/>
      <c r="G21" s="102">
        <f>7073+763+68+83</f>
        <v>7987</v>
      </c>
      <c r="H21" s="118">
        <f>118475+12800</f>
        <v>131275</v>
      </c>
      <c r="I21" s="102">
        <v>31270</v>
      </c>
      <c r="J21" s="103">
        <v>10830.5</v>
      </c>
      <c r="K21" s="93">
        <f>25194.2+231+10</f>
        <v>25435.200000000001</v>
      </c>
      <c r="L21" s="96">
        <f>320+500+165+4147.15+1153+2972.35+35753.25+111+4542.71+7231+1450+1729.5</f>
        <v>60074.96</v>
      </c>
    </row>
    <row r="22" spans="1:12" s="3" customFormat="1" x14ac:dyDescent="0.25">
      <c r="A22" s="157"/>
      <c r="B22" s="5" t="s">
        <v>886</v>
      </c>
      <c r="C22" s="98">
        <f t="shared" si="5"/>
        <v>450836.84</v>
      </c>
      <c r="D22" s="100">
        <v>82672.710000000006</v>
      </c>
      <c r="E22" s="101">
        <v>100072.69</v>
      </c>
      <c r="F22" s="141"/>
      <c r="G22" s="102">
        <f>5991+706+261+23+51</f>
        <v>7032</v>
      </c>
      <c r="H22" s="102">
        <f>94321+9335</f>
        <v>103656</v>
      </c>
      <c r="I22" s="102">
        <v>31745</v>
      </c>
      <c r="J22" s="103">
        <v>9167</v>
      </c>
      <c r="K22" s="93">
        <f>19332.5+125+6</f>
        <v>19463.5</v>
      </c>
      <c r="L22" s="96">
        <f>332+1500+140+2734.65+725+595.8+27847+33+16373.49+46048+250+449</f>
        <v>97027.94</v>
      </c>
    </row>
    <row r="23" spans="1:12" s="3" customFormat="1" x14ac:dyDescent="0.25">
      <c r="A23" s="157"/>
      <c r="B23" s="5" t="s">
        <v>887</v>
      </c>
      <c r="C23" s="98">
        <f t="shared" si="5"/>
        <v>485087.71</v>
      </c>
      <c r="D23" s="100">
        <v>116891.37</v>
      </c>
      <c r="E23" s="101">
        <v>216421.95</v>
      </c>
      <c r="F23" s="113"/>
      <c r="G23" s="102">
        <f>8338+765+194+144+255</f>
        <v>9696</v>
      </c>
      <c r="H23" s="102"/>
      <c r="I23" s="102">
        <v>41380</v>
      </c>
      <c r="J23" s="103">
        <v>11232</v>
      </c>
      <c r="K23" s="93">
        <f>8110+67+3</f>
        <v>8180</v>
      </c>
      <c r="L23" s="96">
        <f>660+4000+150+275+8180.67+1200+1055+41970+339+21131.42+300+1791.3+135+99</f>
        <v>81286.39</v>
      </c>
    </row>
    <row r="24" spans="1:12" s="3" customFormat="1" x14ac:dyDescent="0.25">
      <c r="A24" s="157"/>
      <c r="B24" s="5" t="s">
        <v>888</v>
      </c>
      <c r="C24" s="98">
        <f t="shared" si="5"/>
        <v>530821.31000000006</v>
      </c>
      <c r="D24" s="100">
        <v>227321.87</v>
      </c>
      <c r="E24" s="101">
        <v>158940.93</v>
      </c>
      <c r="F24" s="113"/>
      <c r="G24" s="102">
        <f>9383+1045+411+301+157</f>
        <v>11297</v>
      </c>
      <c r="H24" s="102"/>
      <c r="I24" s="102">
        <v>34785</v>
      </c>
      <c r="J24" s="103">
        <v>14154.5</v>
      </c>
      <c r="K24" s="93">
        <f>1920+85+4</f>
        <v>2009</v>
      </c>
      <c r="L24" s="96">
        <f>220+1650+245+11052+391+171.3+43475+145+2616.71+21258+575+165+349</f>
        <v>82313.010000000009</v>
      </c>
    </row>
    <row r="25" spans="1:12" s="3" customFormat="1" x14ac:dyDescent="0.25">
      <c r="A25" s="157"/>
      <c r="B25" s="5" t="s">
        <v>889</v>
      </c>
      <c r="C25" s="98">
        <f t="shared" si="5"/>
        <v>663277.92000000004</v>
      </c>
      <c r="D25" s="100">
        <v>223123.96</v>
      </c>
      <c r="E25" s="101">
        <v>236536.06</v>
      </c>
      <c r="F25" s="113"/>
      <c r="G25" s="102">
        <f>6140+774+215+62+122</f>
        <v>7313</v>
      </c>
      <c r="H25" s="102"/>
      <c r="I25" s="102">
        <v>30960</v>
      </c>
      <c r="J25" s="103">
        <v>10039.5</v>
      </c>
      <c r="K25" s="104">
        <f>18408+95+50</f>
        <v>18553</v>
      </c>
      <c r="L25" s="96">
        <f>554+6678+1125+165+13155.13+560+79.27+23566+33+89603+1100+35+99</f>
        <v>136752.4</v>
      </c>
    </row>
    <row r="26" spans="1:12" s="3" customFormat="1" x14ac:dyDescent="0.25">
      <c r="A26" s="157"/>
      <c r="B26" s="5" t="s">
        <v>890</v>
      </c>
      <c r="C26" s="98">
        <f t="shared" si="5"/>
        <v>524762.84</v>
      </c>
      <c r="D26" s="100">
        <v>151136.6</v>
      </c>
      <c r="E26" s="101">
        <v>253104.71</v>
      </c>
      <c r="F26" s="113"/>
      <c r="G26" s="119">
        <f>5567+740+207+151+91</f>
        <v>6756</v>
      </c>
      <c r="H26" s="102"/>
      <c r="I26" s="102">
        <v>34640</v>
      </c>
      <c r="J26" s="103">
        <v>11368</v>
      </c>
      <c r="K26" s="93">
        <f>20121.2+105+1</f>
        <v>20227.2</v>
      </c>
      <c r="L26" s="113">
        <f>150+1600+270+4299.47+520+530.66+28787+54+1978.7+7850.5+1250+240</f>
        <v>47530.329999999994</v>
      </c>
    </row>
    <row r="27" spans="1:12" s="3" customFormat="1" x14ac:dyDescent="0.25">
      <c r="A27" s="157"/>
      <c r="B27" s="5" t="s">
        <v>891</v>
      </c>
      <c r="C27" s="98">
        <f t="shared" si="5"/>
        <v>0</v>
      </c>
      <c r="D27" s="120"/>
      <c r="E27" s="99"/>
      <c r="F27" s="120"/>
      <c r="G27" s="120"/>
      <c r="H27" s="97"/>
      <c r="I27" s="97"/>
      <c r="J27" s="97"/>
      <c r="K27" s="97"/>
      <c r="L27" s="120"/>
    </row>
    <row r="28" spans="1:12" s="3" customFormat="1" x14ac:dyDescent="0.25">
      <c r="A28" s="157"/>
      <c r="B28" s="5" t="s">
        <v>892</v>
      </c>
      <c r="C28" s="98">
        <f t="shared" ref="C28" si="6">SUM(D28:L28)</f>
        <v>0</v>
      </c>
      <c r="D28" s="120"/>
      <c r="E28" s="120"/>
      <c r="F28" s="120"/>
      <c r="G28" s="120"/>
      <c r="H28" s="97"/>
      <c r="I28" s="97"/>
      <c r="J28" s="97"/>
      <c r="K28" s="97"/>
      <c r="L28" s="120"/>
    </row>
    <row r="29" spans="1:12" s="3" customFormat="1" x14ac:dyDescent="0.25">
      <c r="A29" s="157"/>
      <c r="B29" s="6" t="s">
        <v>893</v>
      </c>
      <c r="C29" s="95">
        <f>SUM(C17:C28)</f>
        <v>5573684.7699999996</v>
      </c>
      <c r="D29" s="95">
        <f t="shared" ref="D29:L29" si="7">SUM(D17:D28)</f>
        <v>1785700.5700000003</v>
      </c>
      <c r="E29" s="95">
        <f t="shared" si="7"/>
        <v>1775993.44</v>
      </c>
      <c r="F29" s="92">
        <f t="shared" si="7"/>
        <v>0</v>
      </c>
      <c r="G29" s="95">
        <f t="shared" si="7"/>
        <v>80141</v>
      </c>
      <c r="H29" s="95">
        <f t="shared" si="7"/>
        <v>589017</v>
      </c>
      <c r="I29" s="95">
        <f t="shared" si="7"/>
        <v>312860</v>
      </c>
      <c r="J29" s="95">
        <f t="shared" si="7"/>
        <v>113412</v>
      </c>
      <c r="K29" s="95">
        <f t="shared" si="7"/>
        <v>168998</v>
      </c>
      <c r="L29" s="94">
        <f t="shared" si="7"/>
        <v>747562.76</v>
      </c>
    </row>
    <row r="30" spans="1:12" s="3" customFormat="1" x14ac:dyDescent="0.25">
      <c r="D30" s="4"/>
      <c r="E30" s="4"/>
      <c r="F30" s="4"/>
    </row>
    <row r="31" spans="1:12" s="3" customFormat="1" x14ac:dyDescent="0.25">
      <c r="D31" s="4"/>
      <c r="E31" s="4"/>
      <c r="F31" s="4"/>
    </row>
    <row r="32" spans="1:12" s="3" customFormat="1" x14ac:dyDescent="0.2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  <row r="129" spans="4:6" s="3" customFormat="1" x14ac:dyDescent="0.25">
      <c r="D129" s="4"/>
      <c r="E129" s="4"/>
      <c r="F129" s="4"/>
    </row>
    <row r="130" spans="4:6" s="3" customFormat="1" x14ac:dyDescent="0.25">
      <c r="D130" s="4"/>
      <c r="E130" s="4"/>
      <c r="F130" s="4"/>
    </row>
    <row r="131" spans="4:6" s="3" customFormat="1" x14ac:dyDescent="0.25">
      <c r="D131" s="4"/>
      <c r="E131" s="4"/>
      <c r="F131" s="4"/>
    </row>
    <row r="132" spans="4:6" s="3" customFormat="1" x14ac:dyDescent="0.25">
      <c r="D132" s="4"/>
      <c r="E132" s="4"/>
      <c r="F132" s="4"/>
    </row>
    <row r="133" spans="4:6" s="3" customFormat="1" x14ac:dyDescent="0.25">
      <c r="D133" s="4"/>
      <c r="E133" s="4"/>
      <c r="F133" s="4"/>
    </row>
    <row r="134" spans="4:6" s="3" customFormat="1" x14ac:dyDescent="0.25">
      <c r="D134" s="4"/>
      <c r="E134" s="4"/>
      <c r="F134" s="4"/>
    </row>
    <row r="135" spans="4:6" s="3" customFormat="1" x14ac:dyDescent="0.25">
      <c r="D135" s="4"/>
      <c r="E135" s="4"/>
      <c r="F135" s="4"/>
    </row>
    <row r="136" spans="4:6" s="3" customFormat="1" x14ac:dyDescent="0.25">
      <c r="D136" s="4"/>
      <c r="E136" s="4"/>
      <c r="F136" s="4"/>
    </row>
    <row r="137" spans="4:6" s="3" customFormat="1" x14ac:dyDescent="0.25">
      <c r="D137" s="4"/>
      <c r="E137" s="4"/>
      <c r="F137" s="4"/>
    </row>
    <row r="138" spans="4:6" s="3" customFormat="1" x14ac:dyDescent="0.25">
      <c r="D138" s="4"/>
      <c r="E138" s="4"/>
      <c r="F138" s="4"/>
    </row>
    <row r="139" spans="4:6" s="3" customFormat="1" x14ac:dyDescent="0.25">
      <c r="D139" s="4"/>
      <c r="E139" s="4"/>
      <c r="F139" s="4"/>
    </row>
    <row r="140" spans="4:6" s="3" customFormat="1" x14ac:dyDescent="0.25">
      <c r="D140" s="4"/>
      <c r="E140" s="4"/>
      <c r="F140" s="4"/>
    </row>
    <row r="141" spans="4:6" s="3" customFormat="1" x14ac:dyDescent="0.25">
      <c r="D141" s="4"/>
      <c r="E141" s="4"/>
      <c r="F141" s="4"/>
    </row>
  </sheetData>
  <mergeCells count="2">
    <mergeCell ref="A4:A16"/>
    <mergeCell ref="A17:A29"/>
  </mergeCells>
  <pageMargins left="0.25" right="0.25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Fortesa Morina</cp:lastModifiedBy>
  <cp:lastPrinted>2024-03-11T09:29:41Z</cp:lastPrinted>
  <dcterms:created xsi:type="dcterms:W3CDTF">2015-03-12T08:53:45Z</dcterms:created>
  <dcterms:modified xsi:type="dcterms:W3CDTF">2024-12-19T10:11:44Z</dcterms:modified>
</cp:coreProperties>
</file>